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Box Sync\WILSON\SWOT\"/>
    </mc:Choice>
  </mc:AlternateContent>
  <bookViews>
    <workbookView xWindow="380" yWindow="110" windowWidth="14630" windowHeight="6100"/>
  </bookViews>
  <sheets>
    <sheet name="FCEs" sheetId="2" r:id="rId1"/>
    <sheet name="Integration" sheetId="3" r:id="rId2"/>
  </sheets>
  <calcPr calcId="152511"/>
</workbook>
</file>

<file path=xl/calcChain.xml><?xml version="1.0" encoding="utf-8"?>
<calcChain xmlns="http://schemas.openxmlformats.org/spreadsheetml/2006/main">
  <c r="C16" i="3" l="1"/>
  <c r="C15" i="3"/>
  <c r="G38" i="2"/>
  <c r="F38" i="2"/>
  <c r="E38" i="2"/>
  <c r="D38" i="2"/>
  <c r="G37" i="2"/>
  <c r="F37" i="2"/>
  <c r="E37" i="2"/>
  <c r="D37" i="2"/>
  <c r="C37" i="2"/>
  <c r="C30" i="2"/>
  <c r="D33" i="2"/>
  <c r="C33" i="2"/>
  <c r="E30" i="2"/>
  <c r="K32" i="2" s="1"/>
  <c r="D30" i="2"/>
  <c r="E24" i="2"/>
  <c r="D24" i="2"/>
  <c r="F24" i="2"/>
  <c r="F23" i="2"/>
  <c r="E23" i="2"/>
  <c r="D23" i="2"/>
  <c r="D17" i="2"/>
  <c r="E17" i="2"/>
  <c r="F17" i="2"/>
  <c r="F16" i="2"/>
  <c r="E16" i="2"/>
  <c r="K33" i="2" l="1"/>
  <c r="B33" i="2"/>
  <c r="J33" i="2"/>
  <c r="K31" i="2"/>
  <c r="J32" i="2"/>
  <c r="J30" i="2"/>
  <c r="K30" i="2"/>
  <c r="J31" i="2"/>
  <c r="E5" i="2"/>
  <c r="E4" i="2"/>
  <c r="D4" i="2"/>
  <c r="F42" i="2" l="1"/>
  <c r="E42" i="2"/>
  <c r="E41" i="2"/>
  <c r="D42" i="2"/>
  <c r="D41" i="2"/>
  <c r="D40" i="2"/>
  <c r="C42" i="2"/>
  <c r="C41" i="2"/>
  <c r="C40" i="2"/>
  <c r="C39" i="2"/>
  <c r="B42" i="2"/>
  <c r="B41" i="2"/>
  <c r="B40" i="2"/>
  <c r="B39" i="2"/>
  <c r="B38" i="2"/>
  <c r="C32" i="2"/>
  <c r="B32" i="2"/>
  <c r="B31" i="2"/>
  <c r="E27" i="2"/>
  <c r="D27" i="2"/>
  <c r="D26" i="2"/>
  <c r="C27" i="2"/>
  <c r="C26" i="2"/>
  <c r="C25" i="2"/>
  <c r="B27" i="2"/>
  <c r="B26" i="2"/>
  <c r="B25" i="2"/>
  <c r="B24" i="2"/>
  <c r="I30" i="2" l="1"/>
  <c r="I31" i="2"/>
  <c r="I33" i="2"/>
  <c r="I32" i="2"/>
  <c r="H32" i="2"/>
  <c r="H30" i="2"/>
  <c r="H33" i="2"/>
  <c r="F33" i="2" s="1"/>
  <c r="D16" i="3" s="1"/>
  <c r="H31" i="2"/>
  <c r="C18" i="3"/>
  <c r="C19" i="3"/>
  <c r="C20" i="3"/>
  <c r="C21" i="3"/>
  <c r="C22" i="3"/>
  <c r="C17" i="3"/>
  <c r="C14" i="3"/>
  <c r="C13" i="3"/>
  <c r="C9" i="3"/>
  <c r="C10" i="3"/>
  <c r="C11" i="3"/>
  <c r="C12" i="3"/>
  <c r="C8" i="3"/>
  <c r="C4" i="3"/>
  <c r="C5" i="3"/>
  <c r="C6" i="3"/>
  <c r="C7" i="3"/>
  <c r="C3" i="3"/>
  <c r="O38" i="2"/>
  <c r="O39" i="2"/>
  <c r="O40" i="2"/>
  <c r="O41" i="2"/>
  <c r="O42" i="2"/>
  <c r="O37" i="2"/>
  <c r="N38" i="2"/>
  <c r="N39" i="2"/>
  <c r="N40" i="2"/>
  <c r="N41" i="2"/>
  <c r="N42" i="2"/>
  <c r="N37" i="2"/>
  <c r="M38" i="2"/>
  <c r="M39" i="2"/>
  <c r="M40" i="2"/>
  <c r="M41" i="2"/>
  <c r="M42" i="2"/>
  <c r="M37" i="2"/>
  <c r="L38" i="2"/>
  <c r="L39" i="2"/>
  <c r="L40" i="2"/>
  <c r="L41" i="2"/>
  <c r="L42" i="2"/>
  <c r="L37" i="2"/>
  <c r="K38" i="2"/>
  <c r="K39" i="2"/>
  <c r="K40" i="2"/>
  <c r="K41" i="2"/>
  <c r="K42" i="2"/>
  <c r="K37" i="2"/>
  <c r="J38" i="2"/>
  <c r="J39" i="2"/>
  <c r="J40" i="2"/>
  <c r="J41" i="2"/>
  <c r="J42" i="2"/>
  <c r="J37" i="2"/>
  <c r="M24" i="2"/>
  <c r="M25" i="2"/>
  <c r="M26" i="2"/>
  <c r="M27" i="2"/>
  <c r="M23" i="2"/>
  <c r="L24" i="2"/>
  <c r="L25" i="2"/>
  <c r="L26" i="2"/>
  <c r="L27" i="2"/>
  <c r="L23" i="2"/>
  <c r="K24" i="2"/>
  <c r="K25" i="2"/>
  <c r="K26" i="2"/>
  <c r="K27" i="2"/>
  <c r="K23" i="2"/>
  <c r="J24" i="2"/>
  <c r="J25" i="2"/>
  <c r="J26" i="2"/>
  <c r="J27" i="2"/>
  <c r="J23" i="2"/>
  <c r="I24" i="2"/>
  <c r="I25" i="2"/>
  <c r="I26" i="2"/>
  <c r="I27" i="2"/>
  <c r="I23" i="2"/>
  <c r="M17" i="2"/>
  <c r="M18" i="2"/>
  <c r="M19" i="2"/>
  <c r="M20" i="2"/>
  <c r="M16" i="2"/>
  <c r="H37" i="2" l="1"/>
  <c r="H42" i="2"/>
  <c r="H40" i="2"/>
  <c r="H38" i="2"/>
  <c r="H41" i="2"/>
  <c r="H39" i="2"/>
  <c r="S30" i="2"/>
  <c r="S33" i="2"/>
  <c r="S32" i="2"/>
  <c r="S31" i="2"/>
  <c r="F31" i="2"/>
  <c r="D14" i="3" s="1"/>
  <c r="F30" i="2"/>
  <c r="D13" i="3" s="1"/>
  <c r="F32" i="2"/>
  <c r="D15" i="3" s="1"/>
  <c r="G23" i="2"/>
  <c r="G26" i="2"/>
  <c r="G24" i="2"/>
  <c r="G27" i="2"/>
  <c r="G25" i="2"/>
  <c r="E20" i="2"/>
  <c r="D20" i="2"/>
  <c r="D19" i="2"/>
  <c r="C20" i="2"/>
  <c r="C19" i="2"/>
  <c r="C18" i="2"/>
  <c r="B20" i="2"/>
  <c r="B19" i="2"/>
  <c r="B18" i="2"/>
  <c r="B17" i="2"/>
  <c r="M5" i="2"/>
  <c r="M6" i="2"/>
  <c r="M7" i="2"/>
  <c r="M4" i="2"/>
  <c r="E7" i="2"/>
  <c r="L6" i="2" s="1"/>
  <c r="D7" i="2"/>
  <c r="D6" i="2"/>
  <c r="K6" i="2" s="1"/>
  <c r="C7" i="2"/>
  <c r="C6" i="2"/>
  <c r="C5" i="2"/>
  <c r="P32" i="2" l="1"/>
  <c r="P30" i="2"/>
  <c r="P31" i="2"/>
  <c r="P33" i="2"/>
  <c r="R32" i="2"/>
  <c r="R30" i="2"/>
  <c r="R31" i="2"/>
  <c r="R33" i="2"/>
  <c r="Q32" i="2"/>
  <c r="Q30" i="2"/>
  <c r="Q31" i="2"/>
  <c r="Q33" i="2"/>
  <c r="J6" i="2"/>
  <c r="G6" i="2" s="1"/>
  <c r="B13" i="3" s="1"/>
  <c r="I17" i="2"/>
  <c r="I16" i="2"/>
  <c r="I19" i="2"/>
  <c r="J16" i="2"/>
  <c r="J18" i="2"/>
  <c r="J17" i="2"/>
  <c r="J20" i="2"/>
  <c r="K20" i="2"/>
  <c r="D9" i="3"/>
  <c r="Q24" i="2"/>
  <c r="Q23" i="2"/>
  <c r="Q27" i="2"/>
  <c r="Q25" i="2"/>
  <c r="Q26" i="2"/>
  <c r="D10" i="3"/>
  <c r="R25" i="2"/>
  <c r="R23" i="2"/>
  <c r="R24" i="2"/>
  <c r="R27" i="2"/>
  <c r="R26" i="2"/>
  <c r="I18" i="2"/>
  <c r="I20" i="2"/>
  <c r="J19" i="2"/>
  <c r="K18" i="2"/>
  <c r="K17" i="2"/>
  <c r="K19" i="2"/>
  <c r="K16" i="2"/>
  <c r="L17" i="2"/>
  <c r="L18" i="2"/>
  <c r="L20" i="2"/>
  <c r="L19" i="2"/>
  <c r="L16" i="2"/>
  <c r="D11" i="3"/>
  <c r="S24" i="2"/>
  <c r="S26" i="2"/>
  <c r="S23" i="2"/>
  <c r="S25" i="2"/>
  <c r="S27" i="2"/>
  <c r="D8" i="3"/>
  <c r="P23" i="2"/>
  <c r="P25" i="2"/>
  <c r="P24" i="2"/>
  <c r="P27" i="2"/>
  <c r="P26" i="2"/>
  <c r="D12" i="3"/>
  <c r="T25" i="2"/>
  <c r="T27" i="2"/>
  <c r="T24" i="2"/>
  <c r="T26" i="2"/>
  <c r="T23" i="2"/>
  <c r="D21" i="3"/>
  <c r="V39" i="2"/>
  <c r="V41" i="2"/>
  <c r="V38" i="2"/>
  <c r="V40" i="2"/>
  <c r="V37" i="2"/>
  <c r="V42" i="2"/>
  <c r="D18" i="3"/>
  <c r="S38" i="2"/>
  <c r="S40" i="2"/>
  <c r="S42" i="2"/>
  <c r="S37" i="2"/>
  <c r="S39" i="2"/>
  <c r="S41" i="2"/>
  <c r="D22" i="3"/>
  <c r="W38" i="2"/>
  <c r="W40" i="2"/>
  <c r="W42" i="2"/>
  <c r="W37" i="2"/>
  <c r="W39" i="2"/>
  <c r="W41" i="2"/>
  <c r="D19" i="3"/>
  <c r="T39" i="2"/>
  <c r="T41" i="2"/>
  <c r="T38" i="2"/>
  <c r="T40" i="2"/>
  <c r="T42" i="2"/>
  <c r="T37" i="2"/>
  <c r="D20" i="3"/>
  <c r="U38" i="2"/>
  <c r="U40" i="2"/>
  <c r="U42" i="2"/>
  <c r="U37" i="2"/>
  <c r="U39" i="2"/>
  <c r="U41" i="2"/>
  <c r="D17" i="3"/>
  <c r="R38" i="2"/>
  <c r="R39" i="2"/>
  <c r="R41" i="2"/>
  <c r="R40" i="2"/>
  <c r="R42" i="2"/>
  <c r="R37" i="2"/>
  <c r="J4" i="2"/>
  <c r="J7" i="2"/>
  <c r="J5" i="2"/>
  <c r="K7" i="2"/>
  <c r="K5" i="2"/>
  <c r="L7" i="2"/>
  <c r="L5" i="2"/>
  <c r="K4" i="2"/>
  <c r="L4" i="2"/>
  <c r="U25" i="2" l="1"/>
  <c r="U27" i="2"/>
  <c r="U24" i="2"/>
  <c r="U26" i="2"/>
  <c r="V26" i="2" s="1"/>
  <c r="U23" i="2"/>
  <c r="V23" i="2" s="1"/>
  <c r="E14" i="3"/>
  <c r="E16" i="3"/>
  <c r="E15" i="3"/>
  <c r="E13" i="3"/>
  <c r="X42" i="2"/>
  <c r="Y42" i="2" s="1"/>
  <c r="X39" i="2"/>
  <c r="Y39" i="2" s="1"/>
  <c r="T33" i="2"/>
  <c r="U33" i="2" s="1"/>
  <c r="T30" i="2"/>
  <c r="U30" i="2" s="1"/>
  <c r="T31" i="2"/>
  <c r="U31" i="2" s="1"/>
  <c r="T32" i="2"/>
  <c r="U32" i="2" s="1"/>
  <c r="V25" i="2"/>
  <c r="G20" i="2"/>
  <c r="T17" i="2" s="1"/>
  <c r="G18" i="2"/>
  <c r="G19" i="2"/>
  <c r="G16" i="2"/>
  <c r="V27" i="2"/>
  <c r="V24" i="2"/>
  <c r="G17" i="2"/>
  <c r="X37" i="2"/>
  <c r="Y37" i="2" s="1"/>
  <c r="X40" i="2"/>
  <c r="Y40" i="2" s="1"/>
  <c r="X41" i="2"/>
  <c r="Y41" i="2" s="1"/>
  <c r="X38" i="2"/>
  <c r="Y38" i="2" s="1"/>
  <c r="G4" i="2"/>
  <c r="B3" i="3" s="1"/>
  <c r="G5" i="2"/>
  <c r="B8" i="3" s="1"/>
  <c r="G7" i="2"/>
  <c r="B17" i="3" s="1"/>
  <c r="E17" i="3" s="1"/>
  <c r="Z42" i="2" l="1"/>
  <c r="AB38" i="2" s="1"/>
  <c r="AC40" i="2" s="1"/>
  <c r="V33" i="2"/>
  <c r="Y31" i="2" s="1"/>
  <c r="Z33" i="2" s="1"/>
  <c r="W27" i="2"/>
  <c r="Y24" i="2" s="1"/>
  <c r="Z27" i="2" s="1"/>
  <c r="D7" i="3"/>
  <c r="E7" i="3" s="1"/>
  <c r="T18" i="2"/>
  <c r="T19" i="2"/>
  <c r="T20" i="2"/>
  <c r="T16" i="2"/>
  <c r="E10" i="3"/>
  <c r="E12" i="3"/>
  <c r="E8" i="3"/>
  <c r="E9" i="3"/>
  <c r="E11" i="3"/>
  <c r="Q17" i="2"/>
  <c r="Q16" i="2"/>
  <c r="D4" i="3"/>
  <c r="E4" i="3" s="1"/>
  <c r="Q18" i="2"/>
  <c r="Q20" i="2"/>
  <c r="Q19" i="2"/>
  <c r="P16" i="2"/>
  <c r="D3" i="3"/>
  <c r="E3" i="3" s="1"/>
  <c r="P19" i="2"/>
  <c r="P18" i="2"/>
  <c r="P20" i="2"/>
  <c r="P17" i="2"/>
  <c r="R17" i="2"/>
  <c r="R16" i="2"/>
  <c r="R18" i="2"/>
  <c r="D5" i="3"/>
  <c r="E5" i="3" s="1"/>
  <c r="R20" i="2"/>
  <c r="R19" i="2"/>
  <c r="E22" i="3"/>
  <c r="E18" i="3"/>
  <c r="E21" i="3"/>
  <c r="S18" i="2"/>
  <c r="S17" i="2"/>
  <c r="S16" i="2"/>
  <c r="S19" i="2"/>
  <c r="D6" i="3"/>
  <c r="E6" i="3" s="1"/>
  <c r="S20" i="2"/>
  <c r="E19" i="3"/>
  <c r="E20" i="3"/>
  <c r="U17" i="2" l="1"/>
  <c r="V17" i="2" s="1"/>
  <c r="U18" i="2"/>
  <c r="V18" i="2" s="1"/>
  <c r="U20" i="2"/>
  <c r="V20" i="2" s="1"/>
  <c r="U19" i="2"/>
  <c r="V19" i="2" s="1"/>
  <c r="U16" i="2"/>
  <c r="V16" i="2" s="1"/>
  <c r="W20" i="2" l="1"/>
  <c r="Y17" i="2" s="1"/>
  <c r="Z20" i="2" s="1"/>
</calcChain>
</file>

<file path=xl/comments1.xml><?xml version="1.0" encoding="utf-8"?>
<comments xmlns="http://schemas.openxmlformats.org/spreadsheetml/2006/main">
  <authors>
    <author>user</author>
    <author>Karla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 xml:space="preserve">
This matrix calculates the relative weights of each group in comparison with the others. The result appears in column 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" authorId="1" shapeId="0">
      <text>
        <r>
          <rPr>
            <sz val="9"/>
            <color indexed="81"/>
            <rFont val="Tahoma"/>
            <family val="2"/>
          </rPr>
          <t xml:space="preserve">
The average of the relative weights of each CSF group is the relative weight or degree of importance of the group in comparions with the others. </t>
        </r>
      </text>
    </comment>
  </commentList>
</comments>
</file>

<file path=xl/sharedStrings.xml><?xml version="1.0" encoding="utf-8"?>
<sst xmlns="http://schemas.openxmlformats.org/spreadsheetml/2006/main" count="164" uniqueCount="69">
  <si>
    <t>O</t>
  </si>
  <si>
    <t>O1</t>
  </si>
  <si>
    <t>O2</t>
  </si>
  <si>
    <t>O3</t>
  </si>
  <si>
    <t>GLOBAL</t>
  </si>
  <si>
    <t>CR = CI / RI</t>
  </si>
  <si>
    <t>S</t>
  </si>
  <si>
    <t>W</t>
  </si>
  <si>
    <t>T</t>
  </si>
  <si>
    <t>Importance</t>
  </si>
  <si>
    <t>STRENGHTS</t>
  </si>
  <si>
    <t>S2 Quick and easy preparation</t>
  </si>
  <si>
    <t>S1 Support of a well-known and prestigious firm</t>
  </si>
  <si>
    <t>S3 Lower price than competitor's</t>
  </si>
  <si>
    <t>S4 Exclusive distribution network</t>
  </si>
  <si>
    <t>S5 Taste closely resembles fresh roasted coffee</t>
  </si>
  <si>
    <t>S1</t>
  </si>
  <si>
    <t>S2</t>
  </si>
  <si>
    <t>S3</t>
  </si>
  <si>
    <t>S4</t>
  </si>
  <si>
    <t>S5</t>
  </si>
  <si>
    <t>WEAKNESSES</t>
  </si>
  <si>
    <t>W5 Lack of formats (vending machines, automatic coffee makers)</t>
  </si>
  <si>
    <t>W1</t>
  </si>
  <si>
    <t>W2</t>
  </si>
  <si>
    <t>W3</t>
  </si>
  <si>
    <t>W4</t>
  </si>
  <si>
    <t>W5</t>
  </si>
  <si>
    <t>W3 Less distribution coverage than competitor's</t>
  </si>
  <si>
    <t>W1 5% market share</t>
  </si>
  <si>
    <t>W4 Low brand awareness</t>
  </si>
  <si>
    <t>W2 No visibility at point of sale</t>
  </si>
  <si>
    <t>OPPORTUNITIES</t>
  </si>
  <si>
    <t>O4</t>
  </si>
  <si>
    <t>O1 Availability of Peruvian coffee producers</t>
  </si>
  <si>
    <t>O2 Development of a Premium category</t>
  </si>
  <si>
    <t>O3 Increasing coffee consumption in the country</t>
  </si>
  <si>
    <t xml:space="preserve">O4 New consumer segments: young and senior people </t>
  </si>
  <si>
    <t>THREATS</t>
  </si>
  <si>
    <t>T1</t>
  </si>
  <si>
    <t>T2</t>
  </si>
  <si>
    <t>T3</t>
  </si>
  <si>
    <t>T4</t>
  </si>
  <si>
    <t>T5</t>
  </si>
  <si>
    <t>T6</t>
  </si>
  <si>
    <t>T1 More access to fresh roasted coffee due to better economic situation of the country</t>
  </si>
  <si>
    <t>T2 Colombian coffee price variations</t>
  </si>
  <si>
    <t>T3 Aggressive communication strategy of competitor</t>
  </si>
  <si>
    <t>T4 Entrance of new international competitors</t>
  </si>
  <si>
    <t>T5 Aggressive pricing of white label products</t>
  </si>
  <si>
    <t>T6 Negative myths about coffee consumption</t>
  </si>
  <si>
    <t>SWOT GROUPS</t>
  </si>
  <si>
    <t>IMPORTANCE</t>
  </si>
  <si>
    <t xml:space="preserve">CSFs </t>
  </si>
  <si>
    <t>STRENGTHS</t>
  </si>
  <si>
    <t xml:space="preserve">PAIRWISE COMPARISON MATRIX </t>
  </si>
  <si>
    <t>FOR SWOT GROUPS</t>
  </si>
  <si>
    <t>Complete the cells above the diagonal (light blue colored)</t>
  </si>
  <si>
    <t>NORMALIZATION MATRIX</t>
  </si>
  <si>
    <t>Proceed in the same way with each CSF of every SWOT group</t>
  </si>
  <si>
    <t>CR (Consistency Ratio)= if CR is less than 0.1, the consistency of judgments of pairwise comparisons is acceptable</t>
  </si>
  <si>
    <t>CI = (lλmax - n)/(n - 1)</t>
  </si>
  <si>
    <t xml:space="preserve">CR = </t>
  </si>
  <si>
    <t>CONSISTENCY CHECK</t>
  </si>
  <si>
    <t>λmax</t>
  </si>
  <si>
    <t>OK</t>
  </si>
  <si>
    <t>relative importance of all</t>
  </si>
  <si>
    <t>critical success factors</t>
  </si>
  <si>
    <t>RI (Random Consistency Index) = derived from a sample of size 500 of randomly 
generated reciprocal matrices using the scale 1/9,
1/8, . . . , 1, . . . , 8,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</si>
</sst>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37D9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65" fontId="1" fillId="0" borderId="1" xfId="0" applyNumberFormat="1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0" fontId="0" fillId="3" borderId="0" xfId="0" applyFill="1"/>
    <xf numFmtId="165" fontId="0" fillId="0" borderId="4" xfId="0" applyNumberFormat="1" applyFont="1" applyBorder="1" applyAlignment="1">
      <alignment horizontal="center"/>
    </xf>
    <xf numFmtId="0" fontId="1" fillId="0" borderId="0" xfId="0" applyFont="1"/>
    <xf numFmtId="0" fontId="4" fillId="2" borderId="0" xfId="0" applyFont="1" applyFill="1"/>
    <xf numFmtId="0" fontId="0" fillId="2" borderId="1" xfId="0" applyFill="1" applyBorder="1"/>
    <xf numFmtId="165" fontId="4" fillId="2" borderId="0" xfId="0" applyNumberFormat="1" applyFont="1" applyFill="1"/>
    <xf numFmtId="165" fontId="0" fillId="2" borderId="0" xfId="0" applyNumberFormat="1" applyFill="1"/>
    <xf numFmtId="16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2" borderId="6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165" fontId="0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165" fontId="4" fillId="2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5" fontId="0" fillId="2" borderId="1" xfId="0" applyNumberFormat="1" applyFill="1" applyBorder="1"/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165" fontId="0" fillId="2" borderId="0" xfId="0" applyNumberFormat="1" applyFill="1" applyBorder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1" fontId="0" fillId="4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ont="1" applyFill="1" applyBorder="1" applyAlignment="1">
      <alignment vertical="center"/>
    </xf>
    <xf numFmtId="0" fontId="0" fillId="2" borderId="0" xfId="0" applyFont="1" applyFill="1"/>
    <xf numFmtId="165" fontId="0" fillId="2" borderId="0" xfId="0" applyNumberFormat="1" applyFont="1" applyFill="1"/>
    <xf numFmtId="0" fontId="0" fillId="0" borderId="0" xfId="0" applyFont="1" applyAlignment="1">
      <alignment horizontal="right"/>
    </xf>
    <xf numFmtId="0" fontId="0" fillId="2" borderId="0" xfId="0" applyFont="1" applyFill="1" applyAlignment="1">
      <alignment horizontal="center"/>
    </xf>
    <xf numFmtId="165" fontId="0" fillId="2" borderId="1" xfId="0" applyNumberFormat="1" applyFill="1" applyBorder="1" applyAlignment="1">
      <alignment vertical="center"/>
    </xf>
    <xf numFmtId="164" fontId="0" fillId="2" borderId="0" xfId="0" applyNumberFormat="1" applyFont="1" applyFill="1"/>
    <xf numFmtId="0" fontId="0" fillId="0" borderId="0" xfId="0" applyFont="1" applyAlignment="1">
      <alignment horizontal="right" vertical="center"/>
    </xf>
    <xf numFmtId="164" fontId="0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right" vertical="center"/>
    </xf>
    <xf numFmtId="0" fontId="0" fillId="2" borderId="0" xfId="0" applyFill="1" applyAlignment="1">
      <alignment horizontal="left"/>
    </xf>
    <xf numFmtId="0" fontId="0" fillId="2" borderId="5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7D9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55419</xdr:colOff>
      <xdr:row>16</xdr:row>
      <xdr:rowOff>6927</xdr:rowOff>
    </xdr:from>
    <xdr:to>
      <xdr:col>7</xdr:col>
      <xdr:colOff>755073</xdr:colOff>
      <xdr:row>17</xdr:row>
      <xdr:rowOff>20781</xdr:rowOff>
    </xdr:to>
    <xdr:sp macro="" textlink="">
      <xdr:nvSpPr>
        <xdr:cNvPr id="2" name="1 Flecha derecha"/>
        <xdr:cNvSpPr/>
      </xdr:nvSpPr>
      <xdr:spPr>
        <a:xfrm>
          <a:off x="7834746" y="2549236"/>
          <a:ext cx="699654" cy="2147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48492</xdr:colOff>
      <xdr:row>17</xdr:row>
      <xdr:rowOff>124690</xdr:rowOff>
    </xdr:from>
    <xdr:to>
      <xdr:col>7</xdr:col>
      <xdr:colOff>748146</xdr:colOff>
      <xdr:row>18</xdr:row>
      <xdr:rowOff>138544</xdr:rowOff>
    </xdr:to>
    <xdr:sp macro="" textlink="">
      <xdr:nvSpPr>
        <xdr:cNvPr id="3" name="2 Flecha derecha"/>
        <xdr:cNvSpPr/>
      </xdr:nvSpPr>
      <xdr:spPr>
        <a:xfrm rot="10800000">
          <a:off x="7827819" y="2867890"/>
          <a:ext cx="699654" cy="214745"/>
        </a:xfrm>
        <a:prstGeom prst="righ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41564</xdr:colOff>
      <xdr:row>23</xdr:row>
      <xdr:rowOff>53878</xdr:rowOff>
    </xdr:from>
    <xdr:to>
      <xdr:col>7</xdr:col>
      <xdr:colOff>741218</xdr:colOff>
      <xdr:row>24</xdr:row>
      <xdr:rowOff>88514</xdr:rowOff>
    </xdr:to>
    <xdr:sp macro="" textlink="">
      <xdr:nvSpPr>
        <xdr:cNvPr id="4" name="3 Flecha derecha"/>
        <xdr:cNvSpPr/>
      </xdr:nvSpPr>
      <xdr:spPr>
        <a:xfrm>
          <a:off x="7823842" y="4357767"/>
          <a:ext cx="699654" cy="23219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49133</xdr:colOff>
      <xdr:row>37</xdr:row>
      <xdr:rowOff>69529</xdr:rowOff>
    </xdr:from>
    <xdr:to>
      <xdr:col>9</xdr:col>
      <xdr:colOff>35855</xdr:colOff>
      <xdr:row>38</xdr:row>
      <xdr:rowOff>104165</xdr:rowOff>
    </xdr:to>
    <xdr:sp macro="" textlink="">
      <xdr:nvSpPr>
        <xdr:cNvPr id="12" name="11 Flecha derecha"/>
        <xdr:cNvSpPr/>
      </xdr:nvSpPr>
      <xdr:spPr>
        <a:xfrm>
          <a:off x="8593411" y="7816529"/>
          <a:ext cx="748722" cy="2180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0</xdr:colOff>
      <xdr:row>39</xdr:row>
      <xdr:rowOff>6926</xdr:rowOff>
    </xdr:from>
    <xdr:to>
      <xdr:col>8</xdr:col>
      <xdr:colOff>755072</xdr:colOff>
      <xdr:row>40</xdr:row>
      <xdr:rowOff>41561</xdr:rowOff>
    </xdr:to>
    <xdr:sp macro="" textlink="">
      <xdr:nvSpPr>
        <xdr:cNvPr id="13" name="12 Flecha derecha"/>
        <xdr:cNvSpPr/>
      </xdr:nvSpPr>
      <xdr:spPr>
        <a:xfrm rot="10800000">
          <a:off x="9414164" y="6774871"/>
          <a:ext cx="755072" cy="214745"/>
        </a:xfrm>
        <a:prstGeom prst="righ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55932</xdr:colOff>
      <xdr:row>24</xdr:row>
      <xdr:rowOff>111349</xdr:rowOff>
    </xdr:from>
    <xdr:to>
      <xdr:col>7</xdr:col>
      <xdr:colOff>755586</xdr:colOff>
      <xdr:row>25</xdr:row>
      <xdr:rowOff>145985</xdr:rowOff>
    </xdr:to>
    <xdr:sp macro="" textlink="">
      <xdr:nvSpPr>
        <xdr:cNvPr id="14" name="13 Flecha derecha"/>
        <xdr:cNvSpPr/>
      </xdr:nvSpPr>
      <xdr:spPr>
        <a:xfrm rot="10800000">
          <a:off x="7838210" y="4612793"/>
          <a:ext cx="699654" cy="232192"/>
        </a:xfrm>
        <a:prstGeom prst="righ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14</xdr:col>
      <xdr:colOff>189071</xdr:colOff>
      <xdr:row>6</xdr:row>
      <xdr:rowOff>87493</xdr:rowOff>
    </xdr:from>
    <xdr:to>
      <xdr:col>26</xdr:col>
      <xdr:colOff>44456</xdr:colOff>
      <xdr:row>9</xdr:row>
      <xdr:rowOff>53627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5349" y="1188160"/>
          <a:ext cx="7835218" cy="516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45413</xdr:colOff>
      <xdr:row>3</xdr:row>
      <xdr:rowOff>115069</xdr:rowOff>
    </xdr:from>
    <xdr:to>
      <xdr:col>7</xdr:col>
      <xdr:colOff>745067</xdr:colOff>
      <xdr:row>4</xdr:row>
      <xdr:rowOff>143034</xdr:rowOff>
    </xdr:to>
    <xdr:sp macro="" textlink="">
      <xdr:nvSpPr>
        <xdr:cNvPr id="9" name="1 Flecha derecha"/>
        <xdr:cNvSpPr/>
      </xdr:nvSpPr>
      <xdr:spPr>
        <a:xfrm>
          <a:off x="7827691" y="665402"/>
          <a:ext cx="699654" cy="21141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31429</xdr:colOff>
      <xdr:row>5</xdr:row>
      <xdr:rowOff>73890</xdr:rowOff>
    </xdr:from>
    <xdr:to>
      <xdr:col>7</xdr:col>
      <xdr:colOff>731083</xdr:colOff>
      <xdr:row>6</xdr:row>
      <xdr:rowOff>101854</xdr:rowOff>
    </xdr:to>
    <xdr:sp macro="" textlink="">
      <xdr:nvSpPr>
        <xdr:cNvPr id="11" name="2 Flecha derecha"/>
        <xdr:cNvSpPr/>
      </xdr:nvSpPr>
      <xdr:spPr>
        <a:xfrm rot="10800000">
          <a:off x="7813707" y="991112"/>
          <a:ext cx="699654" cy="211409"/>
        </a:xfrm>
        <a:prstGeom prst="righ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45798</xdr:colOff>
      <xdr:row>29</xdr:row>
      <xdr:rowOff>79278</xdr:rowOff>
    </xdr:from>
    <xdr:to>
      <xdr:col>6</xdr:col>
      <xdr:colOff>745452</xdr:colOff>
      <xdr:row>30</xdr:row>
      <xdr:rowOff>113913</xdr:rowOff>
    </xdr:to>
    <xdr:sp macro="" textlink="">
      <xdr:nvSpPr>
        <xdr:cNvPr id="15" name="3 Flecha derecha"/>
        <xdr:cNvSpPr/>
      </xdr:nvSpPr>
      <xdr:spPr>
        <a:xfrm>
          <a:off x="7066076" y="6104722"/>
          <a:ext cx="699654" cy="23219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38998</xdr:colOff>
      <xdr:row>30</xdr:row>
      <xdr:rowOff>193193</xdr:rowOff>
    </xdr:from>
    <xdr:to>
      <xdr:col>6</xdr:col>
      <xdr:colOff>738652</xdr:colOff>
      <xdr:row>32</xdr:row>
      <xdr:rowOff>30274</xdr:rowOff>
    </xdr:to>
    <xdr:sp macro="" textlink="">
      <xdr:nvSpPr>
        <xdr:cNvPr id="16" name="13 Flecha derecha"/>
        <xdr:cNvSpPr/>
      </xdr:nvSpPr>
      <xdr:spPr>
        <a:xfrm rot="10800000">
          <a:off x="7059276" y="6416193"/>
          <a:ext cx="699654" cy="232192"/>
        </a:xfrm>
        <a:prstGeom prst="righ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288"/>
  <sheetViews>
    <sheetView tabSelected="1" zoomScale="90" zoomScaleNormal="90" workbookViewId="0"/>
  </sheetViews>
  <sheetFormatPr baseColWidth="10" defaultRowHeight="14.5" x14ac:dyDescent="0.35"/>
  <cols>
    <col min="1" max="1" width="51.81640625" customWidth="1"/>
    <col min="2" max="2" width="8.81640625" customWidth="1"/>
    <col min="3" max="5" width="9.81640625" customWidth="1"/>
    <col min="6" max="6" width="10.54296875" customWidth="1"/>
    <col min="15" max="15" width="7.81640625" customWidth="1"/>
    <col min="21" max="21" width="9" customWidth="1"/>
    <col min="22" max="29" width="8.54296875" customWidth="1"/>
    <col min="30" max="30" width="7" customWidth="1"/>
    <col min="31" max="31" width="13.36328125" customWidth="1"/>
  </cols>
  <sheetData>
    <row r="1" spans="1:66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49" t="s">
        <v>63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6" x14ac:dyDescent="0.35">
      <c r="A2" s="1"/>
      <c r="B2" s="1"/>
      <c r="C2" s="1"/>
      <c r="D2" s="1"/>
      <c r="E2" s="1"/>
      <c r="F2" s="1"/>
      <c r="G2" s="1"/>
      <c r="H2" s="1"/>
      <c r="I2" s="1"/>
      <c r="J2" s="79" t="s">
        <v>58</v>
      </c>
      <c r="K2" s="79"/>
      <c r="L2" s="7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</row>
    <row r="3" spans="1:66" x14ac:dyDescent="0.35">
      <c r="A3" s="50" t="s">
        <v>55</v>
      </c>
      <c r="B3" s="15"/>
      <c r="C3" s="19" t="s">
        <v>6</v>
      </c>
      <c r="D3" s="19" t="s">
        <v>7</v>
      </c>
      <c r="E3" s="19" t="s">
        <v>0</v>
      </c>
      <c r="F3" s="19" t="s">
        <v>8</v>
      </c>
      <c r="G3" s="19" t="s">
        <v>9</v>
      </c>
      <c r="H3" s="1"/>
      <c r="I3" s="19"/>
      <c r="J3" s="19" t="s">
        <v>6</v>
      </c>
      <c r="K3" s="19" t="s">
        <v>7</v>
      </c>
      <c r="L3" s="19" t="s">
        <v>0</v>
      </c>
      <c r="M3" s="19" t="s">
        <v>8</v>
      </c>
      <c r="N3" s="1"/>
      <c r="O3" s="1" t="s">
        <v>60</v>
      </c>
      <c r="P3" s="1"/>
      <c r="Q3" s="1"/>
      <c r="R3" s="1"/>
      <c r="S3" s="1"/>
      <c r="T3" s="1"/>
      <c r="U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66" x14ac:dyDescent="0.35">
      <c r="A4" s="50" t="s">
        <v>56</v>
      </c>
      <c r="B4" s="19" t="s">
        <v>6</v>
      </c>
      <c r="C4" s="19">
        <v>1</v>
      </c>
      <c r="D4" s="51">
        <f>1/3</f>
        <v>0.33333333333333331</v>
      </c>
      <c r="E4" s="51">
        <f>1/3</f>
        <v>0.33333333333333331</v>
      </c>
      <c r="F4" s="52">
        <v>2</v>
      </c>
      <c r="G4" s="18">
        <f>AVERAGE(J4:M4)</f>
        <v>0.14256230529595015</v>
      </c>
      <c r="H4" s="1"/>
      <c r="I4" s="19" t="s">
        <v>6</v>
      </c>
      <c r="J4" s="18">
        <f>C4/(SUM($C$4:$C$7))</f>
        <v>0.13333333333333333</v>
      </c>
      <c r="K4" s="18">
        <f>D4/(SUM($D$4:$D$7))</f>
        <v>0.05</v>
      </c>
      <c r="L4" s="18">
        <f>E4/(SUM($E$4:$E$7))</f>
        <v>0.18691588785046728</v>
      </c>
      <c r="M4" s="18">
        <f>F4/(SUM($F$4:$F$7))</f>
        <v>0.2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66" x14ac:dyDescent="0.35">
      <c r="A5" s="1"/>
      <c r="B5" s="19" t="s">
        <v>7</v>
      </c>
      <c r="C5" s="22">
        <f>1/D4</f>
        <v>3</v>
      </c>
      <c r="D5" s="19">
        <v>1</v>
      </c>
      <c r="E5" s="51">
        <f>1/5</f>
        <v>0.2</v>
      </c>
      <c r="F5" s="52">
        <v>3</v>
      </c>
      <c r="G5" s="18">
        <f>AVERAGE(J5:M5)</f>
        <v>0.24053738317757012</v>
      </c>
      <c r="H5" s="1"/>
      <c r="I5" s="19" t="s">
        <v>7</v>
      </c>
      <c r="J5" s="18">
        <f>C5/(SUM($C$4:$C$7))</f>
        <v>0.4</v>
      </c>
      <c r="K5" s="18">
        <f>D5/(SUM($D$4:$D$7))</f>
        <v>0.15000000000000002</v>
      </c>
      <c r="L5" s="18">
        <f>E5/(SUM($E$4:$E$7))</f>
        <v>0.11214953271028039</v>
      </c>
      <c r="M5" s="18">
        <f>F5/(SUM($F$4:$F$7))</f>
        <v>0.3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</row>
    <row r="6" spans="1:66" x14ac:dyDescent="0.35">
      <c r="A6" s="1" t="s">
        <v>57</v>
      </c>
      <c r="B6" s="19" t="s">
        <v>0</v>
      </c>
      <c r="C6" s="19">
        <f>1/E4</f>
        <v>3</v>
      </c>
      <c r="D6" s="19">
        <f>1/E5</f>
        <v>5</v>
      </c>
      <c r="E6" s="19">
        <v>1</v>
      </c>
      <c r="F6" s="52">
        <v>4</v>
      </c>
      <c r="G6" s="18">
        <f>AVERAGE(J6:M6)</f>
        <v>0.52768691588785055</v>
      </c>
      <c r="H6" s="1"/>
      <c r="I6" s="19" t="s">
        <v>0</v>
      </c>
      <c r="J6" s="18">
        <f>C6/(SUM($C$4:$C$7))</f>
        <v>0.4</v>
      </c>
      <c r="K6" s="18">
        <f>D6/(SUM($D$4:$D$7))</f>
        <v>0.75000000000000011</v>
      </c>
      <c r="L6" s="18">
        <f>E6/(SUM($E$4:$E$7))</f>
        <v>0.56074766355140193</v>
      </c>
      <c r="M6" s="18">
        <f>F6/(SUM($F$4:$F$7))</f>
        <v>0.4</v>
      </c>
      <c r="N6" s="1"/>
      <c r="O6" s="78" t="s">
        <v>68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</row>
    <row r="7" spans="1:66" x14ac:dyDescent="0.35">
      <c r="A7" s="1"/>
      <c r="B7" s="19" t="s">
        <v>8</v>
      </c>
      <c r="C7" s="21">
        <f>1/F4</f>
        <v>0.5</v>
      </c>
      <c r="D7" s="21">
        <f>1/F5</f>
        <v>0.33333333333333331</v>
      </c>
      <c r="E7" s="19">
        <f>1/F6</f>
        <v>0.25</v>
      </c>
      <c r="F7" s="19">
        <v>1</v>
      </c>
      <c r="G7" s="18">
        <f>AVERAGE(J7:M7)</f>
        <v>8.9213395638629289E-2</v>
      </c>
      <c r="H7" s="1"/>
      <c r="I7" s="19" t="s">
        <v>8</v>
      </c>
      <c r="J7" s="18">
        <f>C7/(SUM($C$4:$C$7))</f>
        <v>6.6666666666666666E-2</v>
      </c>
      <c r="K7" s="18">
        <f>D7/(SUM($D$4:$D$7))</f>
        <v>0.05</v>
      </c>
      <c r="L7" s="18">
        <f>E7/(SUM($E$4:$E$7))</f>
        <v>0.14018691588785048</v>
      </c>
      <c r="M7" s="18">
        <f>F7/(SUM($F$4:$F$7))</f>
        <v>0.1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</row>
    <row r="8" spans="1:66" x14ac:dyDescent="0.35">
      <c r="A8" s="1"/>
      <c r="B8" s="2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</row>
    <row r="9" spans="1:66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</row>
    <row r="10" spans="1:66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</row>
    <row r="11" spans="1:66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</row>
    <row r="12" spans="1:66" x14ac:dyDescent="0.35">
      <c r="A12" s="1" t="s">
        <v>59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</row>
    <row r="13" spans="1:66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</row>
    <row r="14" spans="1:66" x14ac:dyDescent="0.35">
      <c r="A14" s="1"/>
      <c r="B14" s="1"/>
      <c r="C14" s="1"/>
      <c r="D14" s="1"/>
      <c r="E14" s="1"/>
      <c r="F14" s="1"/>
      <c r="G14" s="1"/>
      <c r="H14" s="1"/>
      <c r="I14" s="79" t="s">
        <v>58</v>
      </c>
      <c r="J14" s="79"/>
      <c r="K14" s="79"/>
      <c r="L14" s="79"/>
      <c r="M14" s="79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</row>
    <row r="15" spans="1:66" x14ac:dyDescent="0.35">
      <c r="A15" s="24" t="s">
        <v>10</v>
      </c>
      <c r="B15" s="19" t="s">
        <v>16</v>
      </c>
      <c r="C15" s="19" t="s">
        <v>17</v>
      </c>
      <c r="D15" s="19" t="s">
        <v>18</v>
      </c>
      <c r="E15" s="19" t="s">
        <v>19</v>
      </c>
      <c r="F15" s="19" t="s">
        <v>20</v>
      </c>
      <c r="G15" s="19" t="s">
        <v>9</v>
      </c>
      <c r="H15" s="1"/>
      <c r="I15" s="19" t="s">
        <v>16</v>
      </c>
      <c r="J15" s="19" t="s">
        <v>17</v>
      </c>
      <c r="K15" s="19" t="s">
        <v>18</v>
      </c>
      <c r="L15" s="19" t="s">
        <v>19</v>
      </c>
      <c r="M15" s="19" t="s">
        <v>20</v>
      </c>
      <c r="N15" s="1"/>
      <c r="O15" s="1"/>
      <c r="P15" s="19" t="s">
        <v>16</v>
      </c>
      <c r="Q15" s="19" t="s">
        <v>17</v>
      </c>
      <c r="R15" s="19" t="s">
        <v>18</v>
      </c>
      <c r="S15" s="19" t="s">
        <v>19</v>
      </c>
      <c r="T15" s="19" t="s">
        <v>20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</row>
    <row r="16" spans="1:66" s="5" customFormat="1" ht="15.5" x14ac:dyDescent="0.35">
      <c r="A16" s="25" t="s">
        <v>12</v>
      </c>
      <c r="B16" s="26">
        <v>1</v>
      </c>
      <c r="C16" s="54">
        <v>3</v>
      </c>
      <c r="D16" s="54">
        <v>0.2</v>
      </c>
      <c r="E16" s="55">
        <f>1/3</f>
        <v>0.33333333333333331</v>
      </c>
      <c r="F16" s="55">
        <f>1/3</f>
        <v>0.33333333333333331</v>
      </c>
      <c r="G16" s="28">
        <f>AVERAGE(I16:M16)</f>
        <v>8.0915440635102476E-2</v>
      </c>
      <c r="H16" s="14"/>
      <c r="I16" s="28">
        <f>B16/(SUM($B$16:$B$20))</f>
        <v>8.1081081081081086E-2</v>
      </c>
      <c r="J16" s="28">
        <f>C16/(SUM($C$16:$C$20))</f>
        <v>0.12</v>
      </c>
      <c r="K16" s="28">
        <f>D16/(SUM($D$16:$D$20))</f>
        <v>9.3264248704663225E-2</v>
      </c>
      <c r="L16" s="28">
        <f>E16/(SUM($E$16:$E$20))</f>
        <v>7.1770334928229651E-2</v>
      </c>
      <c r="M16" s="28">
        <f>F16/(SUM($F$16:$F$20))</f>
        <v>3.8461538461538464E-2</v>
      </c>
      <c r="N16" s="14"/>
      <c r="O16" s="19" t="s">
        <v>16</v>
      </c>
      <c r="P16" s="28">
        <f>B16*$G$16</f>
        <v>8.0915440635102476E-2</v>
      </c>
      <c r="Q16" s="28">
        <f>C16*$G$17</f>
        <v>0.10873528918033963</v>
      </c>
      <c r="R16" s="28">
        <f>D16*$G$18</f>
        <v>8.433715576208077E-2</v>
      </c>
      <c r="S16" s="28">
        <f>E16*$G$19</f>
        <v>0.10339451596391876</v>
      </c>
      <c r="T16" s="28">
        <f>F16*$G$20</f>
        <v>5.0323378756430295E-2</v>
      </c>
      <c r="U16" s="28">
        <f>SUM(P16:T16)</f>
        <v>0.42770578029787193</v>
      </c>
      <c r="V16" s="66">
        <f>U16/G16</f>
        <v>5.2858363859953572</v>
      </c>
      <c r="W16" s="14"/>
      <c r="X16" s="14"/>
      <c r="Y16" s="1" t="s">
        <v>61</v>
      </c>
      <c r="Z16" s="14"/>
      <c r="AA16" s="14"/>
      <c r="AB16" s="14"/>
      <c r="AC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</row>
    <row r="17" spans="1:66" s="5" customFormat="1" ht="15.5" x14ac:dyDescent="0.35">
      <c r="A17" s="25" t="s">
        <v>11</v>
      </c>
      <c r="B17" s="27">
        <f>1/C16</f>
        <v>0.33333333333333331</v>
      </c>
      <c r="C17" s="26">
        <v>1</v>
      </c>
      <c r="D17" s="55">
        <f>1/9</f>
        <v>0.1111111111111111</v>
      </c>
      <c r="E17" s="55">
        <f>1/9</f>
        <v>0.1111111111111111</v>
      </c>
      <c r="F17" s="55">
        <f>1/3</f>
        <v>0.33333333333333331</v>
      </c>
      <c r="G17" s="28">
        <f>AVERAGE(I17:M17)</f>
        <v>3.6245096393446544E-2</v>
      </c>
      <c r="H17" s="14"/>
      <c r="I17" s="28">
        <f t="shared" ref="I17:I20" si="0">B17/(SUM($B$16:$B$20))</f>
        <v>2.7027027027027029E-2</v>
      </c>
      <c r="J17" s="28">
        <f t="shared" ref="J17:J20" si="1">C17/(SUM($C$16:$C$20))</f>
        <v>0.04</v>
      </c>
      <c r="K17" s="28">
        <f t="shared" ref="K17:K20" si="2">D17/(SUM($D$16:$D$20))</f>
        <v>5.181347150259067E-2</v>
      </c>
      <c r="L17" s="28">
        <f t="shared" ref="L17:L20" si="3">E17/(SUM($E$16:$E$20))</f>
        <v>2.3923444976076551E-2</v>
      </c>
      <c r="M17" s="28">
        <f t="shared" ref="M17:M20" si="4">F17/(SUM($F$16:$F$20))</f>
        <v>3.8461538461538464E-2</v>
      </c>
      <c r="N17" s="14"/>
      <c r="O17" s="19" t="s">
        <v>17</v>
      </c>
      <c r="P17" s="28">
        <f>B17*$G$16</f>
        <v>2.6971813545034157E-2</v>
      </c>
      <c r="Q17" s="28">
        <f>C17*$G$17</f>
        <v>3.6245096393446544E-2</v>
      </c>
      <c r="R17" s="28">
        <f>D17*$G$18</f>
        <v>4.68539754233782E-2</v>
      </c>
      <c r="S17" s="28">
        <f>E17*$G$19</f>
        <v>3.4464838654639583E-2</v>
      </c>
      <c r="T17" s="28">
        <f>F17*$G$20</f>
        <v>5.0323378756430295E-2</v>
      </c>
      <c r="U17" s="28">
        <f t="shared" ref="U17:U20" si="5">SUM(P17:T17)</f>
        <v>0.19485910277292878</v>
      </c>
      <c r="V17" s="66">
        <f>U17/G17</f>
        <v>5.3761507669258437</v>
      </c>
      <c r="W17" s="14"/>
      <c r="X17" s="14"/>
      <c r="Y17" s="17">
        <f>(W20-5)/4</f>
        <v>0.10871922085159857</v>
      </c>
      <c r="Z17" s="14"/>
      <c r="AA17" s="14"/>
      <c r="AB17" s="14"/>
      <c r="AC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</row>
    <row r="18" spans="1:66" s="5" customFormat="1" ht="15.5" x14ac:dyDescent="0.35">
      <c r="A18" s="25" t="s">
        <v>13</v>
      </c>
      <c r="B18" s="26">
        <f>1/D16</f>
        <v>5</v>
      </c>
      <c r="C18" s="29">
        <f>1/D17</f>
        <v>9</v>
      </c>
      <c r="D18" s="26">
        <v>1</v>
      </c>
      <c r="E18" s="54">
        <v>3</v>
      </c>
      <c r="F18" s="54">
        <v>2</v>
      </c>
      <c r="G18" s="28">
        <f>AVERAGE(I18:M18)</f>
        <v>0.42168577881040381</v>
      </c>
      <c r="H18" s="14"/>
      <c r="I18" s="28">
        <f t="shared" si="0"/>
        <v>0.40540540540540543</v>
      </c>
      <c r="J18" s="28">
        <f t="shared" si="1"/>
        <v>0.36</v>
      </c>
      <c r="K18" s="28">
        <f t="shared" si="2"/>
        <v>0.46632124352331605</v>
      </c>
      <c r="L18" s="28">
        <f t="shared" si="3"/>
        <v>0.64593301435406691</v>
      </c>
      <c r="M18" s="28">
        <f t="shared" si="4"/>
        <v>0.23076923076923078</v>
      </c>
      <c r="N18" s="14"/>
      <c r="O18" s="19" t="s">
        <v>18</v>
      </c>
      <c r="P18" s="28">
        <f>B18*$G$16</f>
        <v>0.40457720317551238</v>
      </c>
      <c r="Q18" s="28">
        <f>C18*$G$17</f>
        <v>0.32620586754101888</v>
      </c>
      <c r="R18" s="28">
        <f>D18*$G$18</f>
        <v>0.42168577881040381</v>
      </c>
      <c r="S18" s="28">
        <f>E18*$G$19</f>
        <v>0.93055064367526885</v>
      </c>
      <c r="T18" s="28">
        <f>F18*$G$20</f>
        <v>0.3019402725385818</v>
      </c>
      <c r="U18" s="28">
        <f t="shared" si="5"/>
        <v>2.3849597657407857</v>
      </c>
      <c r="V18" s="66">
        <f>U18/G18</f>
        <v>5.655774715639863</v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</row>
    <row r="19" spans="1:66" s="5" customFormat="1" ht="15.5" x14ac:dyDescent="0.35">
      <c r="A19" s="25" t="s">
        <v>14</v>
      </c>
      <c r="B19" s="26">
        <f>1/E16</f>
        <v>3</v>
      </c>
      <c r="C19" s="26">
        <f>1/E17</f>
        <v>9</v>
      </c>
      <c r="D19" s="27">
        <f>1/E18</f>
        <v>0.33333333333333331</v>
      </c>
      <c r="E19" s="26">
        <v>1</v>
      </c>
      <c r="F19" s="54">
        <v>5</v>
      </c>
      <c r="G19" s="28">
        <f>AVERAGE(I19:M19)</f>
        <v>0.31018354789175628</v>
      </c>
      <c r="H19" s="14"/>
      <c r="I19" s="28">
        <f t="shared" si="0"/>
        <v>0.24324324324324326</v>
      </c>
      <c r="J19" s="28">
        <f t="shared" si="1"/>
        <v>0.36</v>
      </c>
      <c r="K19" s="28">
        <f t="shared" si="2"/>
        <v>0.15544041450777202</v>
      </c>
      <c r="L19" s="28">
        <f t="shared" si="3"/>
        <v>0.21531100478468898</v>
      </c>
      <c r="M19" s="28">
        <f t="shared" si="4"/>
        <v>0.57692307692307698</v>
      </c>
      <c r="N19" s="14"/>
      <c r="O19" s="19" t="s">
        <v>19</v>
      </c>
      <c r="P19" s="28">
        <f>B19*$G$16</f>
        <v>0.24274632190530743</v>
      </c>
      <c r="Q19" s="28">
        <f>C19*$G$17</f>
        <v>0.32620586754101888</v>
      </c>
      <c r="R19" s="28">
        <f>D19*$G$18</f>
        <v>0.14056192627013459</v>
      </c>
      <c r="S19" s="28">
        <f>E19*$G$19</f>
        <v>0.31018354789175628</v>
      </c>
      <c r="T19" s="28">
        <f>F19*$G$20</f>
        <v>0.7548506813464545</v>
      </c>
      <c r="U19" s="28">
        <f t="shared" si="5"/>
        <v>1.7745483449546717</v>
      </c>
      <c r="V19" s="66">
        <f>U19/G19</f>
        <v>5.7209621755114171</v>
      </c>
      <c r="W19" s="71" t="s">
        <v>64</v>
      </c>
      <c r="X19" s="14"/>
      <c r="Y19" s="68" t="s">
        <v>5</v>
      </c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</row>
    <row r="20" spans="1:66" s="5" customFormat="1" ht="15.5" x14ac:dyDescent="0.35">
      <c r="A20" s="25" t="s">
        <v>15</v>
      </c>
      <c r="B20" s="29">
        <f>1/F16</f>
        <v>3</v>
      </c>
      <c r="C20" s="29">
        <f>1/F17</f>
        <v>3</v>
      </c>
      <c r="D20" s="26">
        <f>1/F18</f>
        <v>0.5</v>
      </c>
      <c r="E20" s="26">
        <f>1/F19</f>
        <v>0.2</v>
      </c>
      <c r="F20" s="26">
        <v>1</v>
      </c>
      <c r="G20" s="28">
        <f>AVERAGE(I20:M20)</f>
        <v>0.1509701362692909</v>
      </c>
      <c r="H20" s="14"/>
      <c r="I20" s="28">
        <f t="shared" si="0"/>
        <v>0.24324324324324326</v>
      </c>
      <c r="J20" s="28">
        <f t="shared" si="1"/>
        <v>0.12</v>
      </c>
      <c r="K20" s="28">
        <f t="shared" si="2"/>
        <v>0.23316062176165803</v>
      </c>
      <c r="L20" s="28">
        <f t="shared" si="3"/>
        <v>4.3062200956937795E-2</v>
      </c>
      <c r="M20" s="28">
        <f t="shared" si="4"/>
        <v>0.11538461538461539</v>
      </c>
      <c r="N20" s="14"/>
      <c r="O20" s="19" t="s">
        <v>20</v>
      </c>
      <c r="P20" s="28">
        <f>B20*$G$16</f>
        <v>0.24274632190530743</v>
      </c>
      <c r="Q20" s="28">
        <f>C20*$G$17</f>
        <v>0.10873528918033963</v>
      </c>
      <c r="R20" s="28">
        <f>D20*$G$18</f>
        <v>0.21084288940520191</v>
      </c>
      <c r="S20" s="28">
        <f>E20*$G$19</f>
        <v>6.2036709578351258E-2</v>
      </c>
      <c r="T20" s="28">
        <f>F20*$G$20</f>
        <v>0.1509701362692909</v>
      </c>
      <c r="U20" s="28">
        <f t="shared" si="5"/>
        <v>0.77533134633849121</v>
      </c>
      <c r="V20" s="66">
        <f>U20/G20</f>
        <v>5.1356603729594879</v>
      </c>
      <c r="W20" s="15">
        <f>AVERAGE(V16:V20)</f>
        <v>5.4348768834063943</v>
      </c>
      <c r="X20" s="14"/>
      <c r="Y20" s="70" t="s">
        <v>62</v>
      </c>
      <c r="Z20" s="69">
        <f>Y17/1.12</f>
        <v>9.7070732903212997E-2</v>
      </c>
      <c r="AA20" s="76" t="s">
        <v>65</v>
      </c>
      <c r="AB20" s="14"/>
      <c r="AC20" s="14"/>
      <c r="AD20" s="16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</row>
    <row r="21" spans="1:66" x14ac:dyDescent="0.35">
      <c r="A21" s="3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</row>
    <row r="22" spans="1:66" x14ac:dyDescent="0.35">
      <c r="A22" s="25" t="s">
        <v>21</v>
      </c>
      <c r="B22" s="19" t="s">
        <v>23</v>
      </c>
      <c r="C22" s="19" t="s">
        <v>24</v>
      </c>
      <c r="D22" s="19" t="s">
        <v>25</v>
      </c>
      <c r="E22" s="19" t="s">
        <v>26</v>
      </c>
      <c r="F22" s="19" t="s">
        <v>27</v>
      </c>
      <c r="G22" s="19" t="s">
        <v>9</v>
      </c>
      <c r="H22" s="42"/>
      <c r="I22" s="19" t="s">
        <v>23</v>
      </c>
      <c r="J22" s="19" t="s">
        <v>24</v>
      </c>
      <c r="K22" s="19" t="s">
        <v>25</v>
      </c>
      <c r="L22" s="19" t="s">
        <v>26</v>
      </c>
      <c r="M22" s="19" t="s">
        <v>27</v>
      </c>
      <c r="N22" s="1"/>
      <c r="O22" s="1"/>
      <c r="P22" s="19" t="s">
        <v>23</v>
      </c>
      <c r="Q22" s="19" t="s">
        <v>24</v>
      </c>
      <c r="R22" s="19" t="s">
        <v>25</v>
      </c>
      <c r="S22" s="19" t="s">
        <v>26</v>
      </c>
      <c r="T22" s="19" t="s">
        <v>27</v>
      </c>
      <c r="U22" s="42"/>
      <c r="V22" s="42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</row>
    <row r="23" spans="1:66" ht="15.5" x14ac:dyDescent="0.35">
      <c r="A23" s="31" t="s">
        <v>29</v>
      </c>
      <c r="B23" s="26">
        <v>1</v>
      </c>
      <c r="C23" s="54">
        <v>2</v>
      </c>
      <c r="D23" s="54">
        <f>1/5</f>
        <v>0.2</v>
      </c>
      <c r="E23" s="55">
        <f>1/3</f>
        <v>0.33333333333333331</v>
      </c>
      <c r="F23" s="54">
        <f>1/5</f>
        <v>0.2</v>
      </c>
      <c r="G23" s="18">
        <f>AVERAGE(I23:M23)</f>
        <v>7.4894048772483762E-2</v>
      </c>
      <c r="H23" s="34"/>
      <c r="I23" s="28">
        <f>B23/(SUM($B$23:$B$28))</f>
        <v>6.8965517241379309E-2</v>
      </c>
      <c r="J23" s="28">
        <f>C23/(SUM($C$23:$C$28))</f>
        <v>0.10526315789473684</v>
      </c>
      <c r="K23" s="28">
        <f>D23/(SUM($D$23:$D$28))</f>
        <v>8.4507042253521125E-2</v>
      </c>
      <c r="L23" s="28">
        <f>E23/(SUM($E$23:$E$28))</f>
        <v>8.8888888888888878E-2</v>
      </c>
      <c r="M23" s="28">
        <f>F23/(SUM($F$23:$F$28))</f>
        <v>2.6845637583892617E-2</v>
      </c>
      <c r="N23" s="1"/>
      <c r="O23" s="19" t="s">
        <v>23</v>
      </c>
      <c r="P23" s="28">
        <f>B23*$G$23</f>
        <v>7.4894048772483762E-2</v>
      </c>
      <c r="Q23" s="28">
        <f>C23*$G$24</f>
        <v>9.4215345681454357E-2</v>
      </c>
      <c r="R23" s="28">
        <f>D23*$G$25</f>
        <v>7.5397679213238908E-2</v>
      </c>
      <c r="S23" s="28">
        <f>E23*$G$26</f>
        <v>0.10250220329244467</v>
      </c>
      <c r="T23" s="28">
        <f>F23*$G$27</f>
        <v>3.8700654488652113E-2</v>
      </c>
      <c r="U23" s="28">
        <f>SUM(P23:T23)</f>
        <v>0.38570993144827381</v>
      </c>
      <c r="V23" s="66">
        <f>U23/G23</f>
        <v>5.1500745088571644</v>
      </c>
      <c r="W23" s="1"/>
      <c r="X23" s="1"/>
      <c r="Y23" s="1" t="s">
        <v>61</v>
      </c>
      <c r="Z23" s="1"/>
      <c r="AA23" s="14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</row>
    <row r="24" spans="1:66" ht="15.5" x14ac:dyDescent="0.35">
      <c r="A24" s="32" t="s">
        <v>31</v>
      </c>
      <c r="B24" s="27">
        <f>1/C23</f>
        <v>0.5</v>
      </c>
      <c r="C24" s="26">
        <v>1</v>
      </c>
      <c r="D24" s="55">
        <f>1/6</f>
        <v>0.16666666666666666</v>
      </c>
      <c r="E24" s="55">
        <f>1/6</f>
        <v>0.16666666666666666</v>
      </c>
      <c r="F24" s="55">
        <f>1/4</f>
        <v>0.25</v>
      </c>
      <c r="G24" s="18">
        <f>AVERAGE(I24:M24)</f>
        <v>4.7107672840727179E-2</v>
      </c>
      <c r="H24" s="34"/>
      <c r="I24" s="28">
        <f>B24/(SUM($B$23:$B$28))</f>
        <v>3.4482758620689655E-2</v>
      </c>
      <c r="J24" s="28">
        <f>C24/(SUM($C$23:$C$28))</f>
        <v>5.2631578947368418E-2</v>
      </c>
      <c r="K24" s="28">
        <f>D24/(SUM($D$23:$D$28))</f>
        <v>7.0422535211267595E-2</v>
      </c>
      <c r="L24" s="28">
        <f>E24/(SUM($E$23:$E$28))</f>
        <v>4.4444444444444439E-2</v>
      </c>
      <c r="M24" s="28">
        <f>F24/(SUM($F$23:$F$28))</f>
        <v>3.3557046979865772E-2</v>
      </c>
      <c r="N24" s="1"/>
      <c r="O24" s="19" t="s">
        <v>24</v>
      </c>
      <c r="P24" s="28">
        <f>B24*$G$23</f>
        <v>3.7447024386241881E-2</v>
      </c>
      <c r="Q24" s="28">
        <f>C24*$G$24</f>
        <v>4.7107672840727179E-2</v>
      </c>
      <c r="R24" s="28">
        <f>D24*$G$25</f>
        <v>6.283139934436574E-2</v>
      </c>
      <c r="S24" s="28">
        <f>E24*$G$26</f>
        <v>5.1251101646222333E-2</v>
      </c>
      <c r="T24" s="28">
        <f>F24*$G$27</f>
        <v>4.8375818110815136E-2</v>
      </c>
      <c r="U24" s="28">
        <f>SUM(P24:T24)</f>
        <v>0.2470130163283723</v>
      </c>
      <c r="V24" s="66">
        <f>U24/G24</f>
        <v>5.2435835063118619</v>
      </c>
      <c r="W24" s="1"/>
      <c r="X24" s="1"/>
      <c r="Y24" s="17">
        <f>(W27-5)/4</f>
        <v>9.2746840322734725E-2</v>
      </c>
      <c r="Z24" s="1"/>
      <c r="AA24" s="14"/>
      <c r="AB24" s="1"/>
      <c r="AC24" s="1"/>
      <c r="AD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</row>
    <row r="25" spans="1:66" ht="15.5" x14ac:dyDescent="0.35">
      <c r="A25" s="31" t="s">
        <v>28</v>
      </c>
      <c r="B25" s="29">
        <f>1/D23</f>
        <v>5</v>
      </c>
      <c r="C25" s="29">
        <f>1/D24</f>
        <v>6</v>
      </c>
      <c r="D25" s="26">
        <v>1</v>
      </c>
      <c r="E25" s="56">
        <v>2</v>
      </c>
      <c r="F25" s="54">
        <v>2</v>
      </c>
      <c r="G25" s="18">
        <f>AVERAGE(I25:M25)</f>
        <v>0.3769883960661945</v>
      </c>
      <c r="H25" s="34"/>
      <c r="I25" s="28">
        <f>B25/(SUM($B$23:$B$28))</f>
        <v>0.34482758620689657</v>
      </c>
      <c r="J25" s="28">
        <f>C25/(SUM($C$23:$C$28))</f>
        <v>0.31578947368421051</v>
      </c>
      <c r="K25" s="28">
        <f>D25/(SUM($D$23:$D$28))</f>
        <v>0.42253521126760563</v>
      </c>
      <c r="L25" s="28">
        <f>E25/(SUM($E$23:$E$28))</f>
        <v>0.53333333333333333</v>
      </c>
      <c r="M25" s="28">
        <f>F25/(SUM($F$23:$F$28))</f>
        <v>0.26845637583892618</v>
      </c>
      <c r="N25" s="1"/>
      <c r="O25" s="19" t="s">
        <v>25</v>
      </c>
      <c r="P25" s="28">
        <f>B25*$G$23</f>
        <v>0.37447024386241878</v>
      </c>
      <c r="Q25" s="28">
        <f>C25*$G$24</f>
        <v>0.28264603704436309</v>
      </c>
      <c r="R25" s="28">
        <f>D25*$G$25</f>
        <v>0.3769883960661945</v>
      </c>
      <c r="S25" s="28">
        <f>E25*$G$26</f>
        <v>0.61501321975466805</v>
      </c>
      <c r="T25" s="28">
        <f>F25*$G$27</f>
        <v>0.38700654488652109</v>
      </c>
      <c r="U25" s="28">
        <f>SUM(P25:T25)</f>
        <v>2.0361244416141657</v>
      </c>
      <c r="V25" s="66">
        <f>U25/G25</f>
        <v>5.4010268296338957</v>
      </c>
      <c r="W25" s="1"/>
      <c r="X25" s="1"/>
      <c r="Y25" s="14"/>
      <c r="Z25" s="1"/>
      <c r="AA25" s="14"/>
      <c r="AB25" s="1"/>
      <c r="AC25" s="1"/>
      <c r="AD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</row>
    <row r="26" spans="1:66" ht="15.5" x14ac:dyDescent="0.35">
      <c r="A26" s="31" t="s">
        <v>30</v>
      </c>
      <c r="B26" s="29">
        <f>1/E23</f>
        <v>3</v>
      </c>
      <c r="C26" s="29">
        <f>1/E24</f>
        <v>6</v>
      </c>
      <c r="D26" s="26">
        <f>1/E25</f>
        <v>0.5</v>
      </c>
      <c r="E26" s="26">
        <v>1</v>
      </c>
      <c r="F26" s="56">
        <v>4</v>
      </c>
      <c r="G26" s="18">
        <f>AVERAGE(I26:M26)</f>
        <v>0.30750660987733403</v>
      </c>
      <c r="H26" s="34"/>
      <c r="I26" s="28">
        <f>B26/(SUM($B$23:$B$28))</f>
        <v>0.20689655172413793</v>
      </c>
      <c r="J26" s="28">
        <f>C26/(SUM($C$23:$C$28))</f>
        <v>0.31578947368421051</v>
      </c>
      <c r="K26" s="28">
        <f>D26/(SUM($D$23:$D$28))</f>
        <v>0.21126760563380281</v>
      </c>
      <c r="L26" s="28">
        <f>E26/(SUM($E$23:$E$28))</f>
        <v>0.26666666666666666</v>
      </c>
      <c r="M26" s="28">
        <f>F26/(SUM($F$23:$F$28))</f>
        <v>0.53691275167785235</v>
      </c>
      <c r="N26" s="1"/>
      <c r="O26" s="19" t="s">
        <v>26</v>
      </c>
      <c r="P26" s="28">
        <f>B26*$G$23</f>
        <v>0.22468214631745129</v>
      </c>
      <c r="Q26" s="28">
        <f>C26*$G$24</f>
        <v>0.28264603704436309</v>
      </c>
      <c r="R26" s="28">
        <f>D26*$G$25</f>
        <v>0.18849419803309725</v>
      </c>
      <c r="S26" s="28">
        <f>E26*$G$26</f>
        <v>0.30750660987733403</v>
      </c>
      <c r="T26" s="28">
        <f>F26*$G$27</f>
        <v>0.77401308977304217</v>
      </c>
      <c r="U26" s="28">
        <f>SUM(P26:T26)</f>
        <v>1.7773420810452878</v>
      </c>
      <c r="V26" s="66">
        <f>U26/G26</f>
        <v>5.7798500063275995</v>
      </c>
      <c r="W26" s="71" t="s">
        <v>64</v>
      </c>
      <c r="X26" s="1"/>
      <c r="Y26" s="68" t="s">
        <v>5</v>
      </c>
      <c r="Z26" s="1"/>
      <c r="AA26" s="14"/>
      <c r="AB26" s="1"/>
      <c r="AC26" s="1"/>
      <c r="AD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</row>
    <row r="27" spans="1:66" ht="29" x14ac:dyDescent="0.35">
      <c r="A27" s="53" t="s">
        <v>22</v>
      </c>
      <c r="B27" s="57">
        <f>1/F23</f>
        <v>5</v>
      </c>
      <c r="C27" s="58">
        <f>1/F24</f>
        <v>4</v>
      </c>
      <c r="D27" s="59">
        <f>1/F25</f>
        <v>0.5</v>
      </c>
      <c r="E27" s="59">
        <f>1/F26</f>
        <v>0.25</v>
      </c>
      <c r="F27" s="58">
        <v>1</v>
      </c>
      <c r="G27" s="60">
        <f>AVERAGE(I27:M27)</f>
        <v>0.19350327244326054</v>
      </c>
      <c r="H27" s="34"/>
      <c r="I27" s="61">
        <f>B27/(SUM($B$23:$B$28))</f>
        <v>0.34482758620689657</v>
      </c>
      <c r="J27" s="61">
        <f>C27/(SUM($C$23:$C$28))</f>
        <v>0.21052631578947367</v>
      </c>
      <c r="K27" s="61">
        <f>D27/(SUM($D$23:$D$28))</f>
        <v>0.21126760563380281</v>
      </c>
      <c r="L27" s="61">
        <f>E27/(SUM($E$23:$E$28))</f>
        <v>6.6666666666666666E-2</v>
      </c>
      <c r="M27" s="61">
        <f>F27/(SUM($F$23:$F$28))</f>
        <v>0.13422818791946309</v>
      </c>
      <c r="N27" s="1"/>
      <c r="O27" s="19" t="s">
        <v>27</v>
      </c>
      <c r="P27" s="61">
        <f>B27*$G$23</f>
        <v>0.37447024386241878</v>
      </c>
      <c r="Q27" s="61">
        <f>C27*$G$24</f>
        <v>0.18843069136290871</v>
      </c>
      <c r="R27" s="61">
        <f>D27*$G$25</f>
        <v>0.18849419803309725</v>
      </c>
      <c r="S27" s="61">
        <f>E27*$G$26</f>
        <v>7.6876652469333506E-2</v>
      </c>
      <c r="T27" s="61">
        <f>F27*$G$27</f>
        <v>0.19350327244326054</v>
      </c>
      <c r="U27" s="61">
        <f>SUM(P27:T27)</f>
        <v>1.0217750581710188</v>
      </c>
      <c r="V27" s="67">
        <f>U27/G27</f>
        <v>5.2804019553241712</v>
      </c>
      <c r="W27" s="72">
        <f>AVERAGE(V23:V27)</f>
        <v>5.3709873612909389</v>
      </c>
      <c r="X27" s="1"/>
      <c r="Y27" s="74" t="s">
        <v>62</v>
      </c>
      <c r="Z27" s="75">
        <f>Y24/1.12</f>
        <v>8.2809678859584568E-2</v>
      </c>
      <c r="AA27" s="77" t="s">
        <v>65</v>
      </c>
      <c r="AB27" s="1"/>
      <c r="AC27" s="1"/>
      <c r="AD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</row>
    <row r="28" spans="1:66" ht="15.5" x14ac:dyDescent="0.35">
      <c r="A28" s="33"/>
      <c r="B28" s="34"/>
      <c r="C28" s="34"/>
      <c r="D28" s="34"/>
      <c r="E28" s="34"/>
      <c r="F28" s="34"/>
      <c r="G28" s="34"/>
      <c r="H28" s="34"/>
      <c r="I28" s="35"/>
      <c r="J28" s="36"/>
      <c r="K28" s="37"/>
      <c r="L28" s="37"/>
      <c r="M28" s="37"/>
      <c r="N28" s="37"/>
      <c r="O28" s="37"/>
      <c r="P28" s="37"/>
      <c r="Q28" s="37"/>
      <c r="R28" s="1"/>
      <c r="S28" s="1"/>
      <c r="T28" s="1"/>
      <c r="U28" s="38"/>
      <c r="V28" s="37"/>
      <c r="W28" s="37"/>
      <c r="X28" s="37"/>
      <c r="Y28" s="37"/>
      <c r="Z28" s="37"/>
      <c r="AA28" s="37"/>
      <c r="AB28" s="37"/>
      <c r="AC28" s="39"/>
      <c r="AD28" s="38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</row>
    <row r="29" spans="1:66" x14ac:dyDescent="0.35">
      <c r="A29" s="25" t="s">
        <v>32</v>
      </c>
      <c r="B29" s="19" t="s">
        <v>1</v>
      </c>
      <c r="C29" s="19" t="s">
        <v>2</v>
      </c>
      <c r="D29" s="19" t="s">
        <v>3</v>
      </c>
      <c r="E29" s="40" t="s">
        <v>33</v>
      </c>
      <c r="F29" s="40" t="s">
        <v>9</v>
      </c>
      <c r="G29" s="1"/>
      <c r="H29" s="19" t="s">
        <v>1</v>
      </c>
      <c r="I29" s="19" t="s">
        <v>2</v>
      </c>
      <c r="J29" s="19" t="s">
        <v>3</v>
      </c>
      <c r="K29" s="19" t="s">
        <v>33</v>
      </c>
      <c r="L29" s="1"/>
      <c r="M29" s="1"/>
      <c r="N29" s="1"/>
      <c r="O29" s="1"/>
      <c r="P29" s="19" t="s">
        <v>1</v>
      </c>
      <c r="Q29" s="19" t="s">
        <v>2</v>
      </c>
      <c r="R29" s="19" t="s">
        <v>3</v>
      </c>
      <c r="S29" s="19" t="s">
        <v>33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</row>
    <row r="30" spans="1:66" x14ac:dyDescent="0.35">
      <c r="A30" s="31" t="s">
        <v>34</v>
      </c>
      <c r="B30" s="19">
        <v>1</v>
      </c>
      <c r="C30" s="51">
        <f>1/9</f>
        <v>0.1111111111111111</v>
      </c>
      <c r="D30" s="51">
        <f>1/7</f>
        <v>0.14285714285714285</v>
      </c>
      <c r="E30" s="51">
        <f>1/5</f>
        <v>0.2</v>
      </c>
      <c r="F30" s="41">
        <f>AVERAGE(H30:K30)</f>
        <v>4.295704295704296E-2</v>
      </c>
      <c r="G30" s="1"/>
      <c r="H30" s="18">
        <f>B30/(SUM($B$30:$B$33))</f>
        <v>4.5454545454545456E-2</v>
      </c>
      <c r="I30" s="18">
        <f>C30/(SUM($C$30:$C$33))</f>
        <v>5.7142857142857141E-2</v>
      </c>
      <c r="J30" s="18">
        <f>D30/(SUM($D$30:$D$33))</f>
        <v>3.0769230769230771E-2</v>
      </c>
      <c r="K30" s="18">
        <f>E30/(SUM($E$30:$E$33))</f>
        <v>3.8461538461538464E-2</v>
      </c>
      <c r="L30" s="1"/>
      <c r="M30" s="1"/>
      <c r="N30" s="1"/>
      <c r="O30" s="66" t="s">
        <v>1</v>
      </c>
      <c r="P30" s="28">
        <f>B30*$F$30</f>
        <v>4.295704295704296E-2</v>
      </c>
      <c r="Q30" s="28">
        <f>C30*$F$31</f>
        <v>5.4281829281829279E-2</v>
      </c>
      <c r="R30" s="28">
        <f>D30*$F$32</f>
        <v>3.891465677179963E-2</v>
      </c>
      <c r="S30" s="28">
        <f>E30*$F$33</f>
        <v>3.9220779220779226E-2</v>
      </c>
      <c r="T30" s="28">
        <f>SUM(P30:S30)</f>
        <v>0.17537430823145106</v>
      </c>
      <c r="U30" s="26">
        <f>T30/F30</f>
        <v>4.0825507567368025</v>
      </c>
      <c r="V30" s="1"/>
      <c r="W30" s="1"/>
      <c r="X30" s="1"/>
      <c r="Y30" s="1" t="s">
        <v>61</v>
      </c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</row>
    <row r="31" spans="1:66" x14ac:dyDescent="0.35">
      <c r="A31" s="31" t="s">
        <v>35</v>
      </c>
      <c r="B31" s="19">
        <f>1/C30</f>
        <v>9</v>
      </c>
      <c r="C31" s="19">
        <v>1</v>
      </c>
      <c r="D31" s="52">
        <v>3</v>
      </c>
      <c r="E31" s="62">
        <v>2</v>
      </c>
      <c r="F31" s="41">
        <f>AVERAGE(H31:K31)</f>
        <v>0.48853646353646352</v>
      </c>
      <c r="G31" s="1"/>
      <c r="H31" s="18">
        <f>B31/(SUM($B$30:$B$33))</f>
        <v>0.40909090909090912</v>
      </c>
      <c r="I31" s="18">
        <f>C31/(SUM($C$30:$C$33))</f>
        <v>0.51428571428571435</v>
      </c>
      <c r="J31" s="18">
        <f>D31/(SUM($D$30:$D$33))</f>
        <v>0.64615384615384619</v>
      </c>
      <c r="K31" s="18">
        <f>E31/(SUM($E$30:$E$33))</f>
        <v>0.38461538461538458</v>
      </c>
      <c r="L31" s="1"/>
      <c r="M31" s="1"/>
      <c r="N31" s="1"/>
      <c r="O31" s="66" t="s">
        <v>2</v>
      </c>
      <c r="P31" s="28">
        <f>B31*$F$30</f>
        <v>0.38661338661338662</v>
      </c>
      <c r="Q31" s="28">
        <f>C31*$F$31</f>
        <v>0.48853646353646352</v>
      </c>
      <c r="R31" s="28">
        <f>D31*$F$32</f>
        <v>0.81720779220779227</v>
      </c>
      <c r="S31" s="28">
        <f>E31*$F$33</f>
        <v>0.39220779220779223</v>
      </c>
      <c r="T31" s="28">
        <f t="shared" ref="T31:T33" si="6">SUM(P31:S31)</f>
        <v>2.0845654345654347</v>
      </c>
      <c r="U31" s="26">
        <f>T31/F31</f>
        <v>4.2669597668830841</v>
      </c>
      <c r="V31" s="1"/>
      <c r="W31" s="1"/>
      <c r="X31" s="1"/>
      <c r="Y31" s="17">
        <f>(V33-4)/3</f>
        <v>4.3867904909011678E-2</v>
      </c>
      <c r="Z31" s="1"/>
      <c r="AA31" s="1"/>
      <c r="AB31" s="1"/>
      <c r="AC31" s="1"/>
      <c r="AD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</row>
    <row r="32" spans="1:66" x14ac:dyDescent="0.35">
      <c r="A32" s="31" t="s">
        <v>36</v>
      </c>
      <c r="B32" s="22">
        <f>1/D30</f>
        <v>7</v>
      </c>
      <c r="C32" s="21">
        <f>1/D31</f>
        <v>0.33333333333333331</v>
      </c>
      <c r="D32" s="19">
        <v>1</v>
      </c>
      <c r="E32" s="62">
        <v>2</v>
      </c>
      <c r="F32" s="41">
        <f>AVERAGE(H32:K32)</f>
        <v>0.27240259740259742</v>
      </c>
      <c r="G32" s="1"/>
      <c r="H32" s="18">
        <f>B32/(SUM($B$30:$B$33))</f>
        <v>0.31818181818181818</v>
      </c>
      <c r="I32" s="18">
        <f>C32/(SUM($C$30:$C$33))</f>
        <v>0.17142857142857143</v>
      </c>
      <c r="J32" s="18">
        <f>D32/(SUM($D$30:$D$33))</f>
        <v>0.2153846153846154</v>
      </c>
      <c r="K32" s="18">
        <f>E32/(SUM($E$30:$E$33))</f>
        <v>0.38461538461538458</v>
      </c>
      <c r="L32" s="1"/>
      <c r="M32" s="1"/>
      <c r="N32" s="1"/>
      <c r="O32" s="66" t="s">
        <v>3</v>
      </c>
      <c r="P32" s="28">
        <f>B32*$F$30</f>
        <v>0.30069930069930073</v>
      </c>
      <c r="Q32" s="28">
        <f>C32*$F$31</f>
        <v>0.16284548784548783</v>
      </c>
      <c r="R32" s="28">
        <f>D32*$F$32</f>
        <v>0.27240259740259742</v>
      </c>
      <c r="S32" s="28">
        <f>E32*$F$33</f>
        <v>0.39220779220779223</v>
      </c>
      <c r="T32" s="28">
        <f t="shared" si="6"/>
        <v>1.1281551781551782</v>
      </c>
      <c r="U32" s="26">
        <f>T32/F32</f>
        <v>4.1414993429296167</v>
      </c>
      <c r="V32" s="71" t="s">
        <v>64</v>
      </c>
      <c r="W32" s="1"/>
      <c r="X32" s="1"/>
      <c r="Y32" s="68" t="s">
        <v>5</v>
      </c>
      <c r="Z32" s="1"/>
      <c r="AA32" s="1"/>
      <c r="AC32" s="1"/>
      <c r="AD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</row>
    <row r="33" spans="1:66" ht="15.5" x14ac:dyDescent="0.35">
      <c r="A33" s="31" t="s">
        <v>37</v>
      </c>
      <c r="B33" s="19">
        <f>1/E30</f>
        <v>5</v>
      </c>
      <c r="C33" s="19">
        <f>1/E31</f>
        <v>0.5</v>
      </c>
      <c r="D33" s="19">
        <f>1/E32</f>
        <v>0.5</v>
      </c>
      <c r="E33" s="19">
        <v>1</v>
      </c>
      <c r="F33" s="41">
        <f>AVERAGE(H33:K33)</f>
        <v>0.19610389610389611</v>
      </c>
      <c r="G33" s="1"/>
      <c r="H33" s="18">
        <f>B33/(SUM($B$30:$B$33))</f>
        <v>0.22727272727272727</v>
      </c>
      <c r="I33" s="18">
        <f>C33/(SUM($C$30:$C$33))</f>
        <v>0.25714285714285717</v>
      </c>
      <c r="J33" s="18">
        <f>D33/(SUM($D$30:$D$33))</f>
        <v>0.1076923076923077</v>
      </c>
      <c r="K33" s="18">
        <f>E33/(SUM($E$30:$E$33))</f>
        <v>0.19230769230769229</v>
      </c>
      <c r="L33" s="1"/>
      <c r="M33" s="1"/>
      <c r="N33" s="1"/>
      <c r="O33" s="66" t="s">
        <v>33</v>
      </c>
      <c r="P33" s="28">
        <f>B33*$F$30</f>
        <v>0.21478521478521478</v>
      </c>
      <c r="Q33" s="28">
        <f>C33*$F$31</f>
        <v>0.24426823176823176</v>
      </c>
      <c r="R33" s="28">
        <f>D33*$F$32</f>
        <v>0.13620129870129871</v>
      </c>
      <c r="S33" s="28">
        <f>E33*$F$33</f>
        <v>0.19610389610389611</v>
      </c>
      <c r="T33" s="28">
        <f t="shared" si="6"/>
        <v>0.79135864135864131</v>
      </c>
      <c r="U33" s="26">
        <f>T33/F33</f>
        <v>4.0354049923586341</v>
      </c>
      <c r="V33" s="15">
        <f>AVERAGE(U30:U33)</f>
        <v>4.131603714727035</v>
      </c>
      <c r="W33" s="1"/>
      <c r="X33" s="1"/>
      <c r="Y33" s="74" t="s">
        <v>62</v>
      </c>
      <c r="Z33" s="73">
        <f>Y31/0.9</f>
        <v>4.8742116565568532E-2</v>
      </c>
      <c r="AA33" s="77" t="s">
        <v>65</v>
      </c>
      <c r="AB33" s="14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</row>
    <row r="34" spans="1:66" ht="15.5" x14ac:dyDescent="0.35">
      <c r="A34" s="47"/>
      <c r="B34" s="42"/>
      <c r="C34" s="42"/>
      <c r="D34" s="42"/>
      <c r="E34" s="36"/>
      <c r="F34" s="48"/>
      <c r="G34" s="35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36"/>
      <c r="U34" s="35"/>
      <c r="V34" s="35"/>
      <c r="W34" s="35"/>
      <c r="X34" s="35"/>
      <c r="Y34" s="35"/>
      <c r="Z34" s="42"/>
      <c r="AA34" s="1"/>
      <c r="AB34" s="14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</row>
    <row r="35" spans="1:66" ht="15.5" x14ac:dyDescent="0.35">
      <c r="A35" s="47"/>
      <c r="B35" s="42"/>
      <c r="C35" s="42"/>
      <c r="D35" s="42"/>
      <c r="E35" s="36"/>
      <c r="F35" s="48"/>
      <c r="G35" s="35"/>
      <c r="H35" s="35"/>
      <c r="I35" s="35"/>
      <c r="J35" s="35"/>
      <c r="K35" s="1"/>
      <c r="L35" s="1"/>
      <c r="M35" s="1"/>
      <c r="N35" s="1"/>
      <c r="O35" s="1"/>
      <c r="P35" s="1"/>
      <c r="Q35" s="1"/>
      <c r="R35" s="1"/>
      <c r="S35" s="1"/>
      <c r="T35" s="36"/>
      <c r="U35" s="35"/>
      <c r="V35" s="35"/>
      <c r="W35" s="35"/>
      <c r="X35" s="35"/>
      <c r="Y35" s="35"/>
      <c r="Z35" s="42"/>
      <c r="AA35" s="1"/>
      <c r="AB35" s="14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</row>
    <row r="36" spans="1:66" x14ac:dyDescent="0.35">
      <c r="A36" s="25" t="s">
        <v>38</v>
      </c>
      <c r="B36" s="19" t="s">
        <v>39</v>
      </c>
      <c r="C36" s="19" t="s">
        <v>40</v>
      </c>
      <c r="D36" s="19" t="s">
        <v>41</v>
      </c>
      <c r="E36" s="19" t="s">
        <v>42</v>
      </c>
      <c r="F36" s="19" t="s">
        <v>43</v>
      </c>
      <c r="G36" s="19" t="s">
        <v>44</v>
      </c>
      <c r="H36" s="19" t="s">
        <v>9</v>
      </c>
      <c r="I36" s="1"/>
      <c r="J36" s="19" t="s">
        <v>39</v>
      </c>
      <c r="K36" s="19" t="s">
        <v>40</v>
      </c>
      <c r="L36" s="19" t="s">
        <v>41</v>
      </c>
      <c r="M36" s="19" t="s">
        <v>42</v>
      </c>
      <c r="N36" s="19" t="s">
        <v>43</v>
      </c>
      <c r="O36" s="19" t="s">
        <v>44</v>
      </c>
      <c r="P36" s="1"/>
      <c r="Q36" s="1"/>
      <c r="R36" s="19" t="s">
        <v>39</v>
      </c>
      <c r="S36" s="19" t="s">
        <v>40</v>
      </c>
      <c r="T36" s="19" t="s">
        <v>41</v>
      </c>
      <c r="U36" s="19" t="s">
        <v>42</v>
      </c>
      <c r="V36" s="19" t="s">
        <v>43</v>
      </c>
      <c r="W36" s="19" t="s">
        <v>44</v>
      </c>
      <c r="X36" s="42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</row>
    <row r="37" spans="1:66" ht="29" x14ac:dyDescent="0.35">
      <c r="A37" s="53" t="s">
        <v>45</v>
      </c>
      <c r="B37" s="63">
        <v>1</v>
      </c>
      <c r="C37" s="64">
        <f>1/5</f>
        <v>0.2</v>
      </c>
      <c r="D37" s="65">
        <f>1/9</f>
        <v>0.1111111111111111</v>
      </c>
      <c r="E37" s="65">
        <f>1/9</f>
        <v>0.1111111111111111</v>
      </c>
      <c r="F37" s="65">
        <f>1/9</f>
        <v>0.1111111111111111</v>
      </c>
      <c r="G37" s="64">
        <f>1/5</f>
        <v>0.2</v>
      </c>
      <c r="H37" s="43">
        <f t="shared" ref="H37:H42" si="7">AVERAGE(J37:O37)</f>
        <v>2.3362499637731321E-2</v>
      </c>
      <c r="I37" s="1"/>
      <c r="J37" s="60">
        <f t="shared" ref="J37:J42" si="8">B37/(SUM($B$37:$B$43))</f>
        <v>2.6315789473684209E-2</v>
      </c>
      <c r="K37" s="60">
        <f t="shared" ref="K37:K42" si="9">C37/(SUM($C$37:$C$43))</f>
        <v>9.4339622641509448E-3</v>
      </c>
      <c r="L37" s="60">
        <f t="shared" ref="L37:L42" si="10">D37/(SUM($D$37:$D$43))</f>
        <v>5.239520958083832E-2</v>
      </c>
      <c r="M37" s="60">
        <f t="shared" ref="M37:M42" si="11">E37/(SUM($E$37:$E$43))</f>
        <v>2.1052631578947368E-2</v>
      </c>
      <c r="N37" s="60">
        <f t="shared" ref="N37:N42" si="12">F37/(SUM($F$37:$F$43))</f>
        <v>1.7215937038858826E-2</v>
      </c>
      <c r="O37" s="60">
        <f t="shared" ref="O37:O42" si="13">G37/(SUM($G$37:$G$43))</f>
        <v>1.3761467889908258E-2</v>
      </c>
      <c r="P37" s="1"/>
      <c r="Q37" s="19" t="s">
        <v>39</v>
      </c>
      <c r="R37" s="60">
        <f t="shared" ref="R37:R42" si="14">B37*$H$37</f>
        <v>2.3362499637731321E-2</v>
      </c>
      <c r="S37" s="60">
        <f t="shared" ref="S37:S42" si="15">C37*$H$38</f>
        <v>1.1811415963214266E-2</v>
      </c>
      <c r="T37" s="60">
        <f t="shared" ref="T37:T42" si="16">D37*$H$39</f>
        <v>4.4738439271564061E-2</v>
      </c>
      <c r="U37" s="60">
        <f t="shared" ref="U37:U42" si="17">E37*$H$40</f>
        <v>2.2987402541232334E-2</v>
      </c>
      <c r="V37" s="60">
        <f t="shared" ref="V37:V42" si="18">F37*$H$41</f>
        <v>2.4406173813956572E-2</v>
      </c>
      <c r="W37" s="60">
        <f t="shared" ref="W37:W42" si="19">G37*$H$42</f>
        <v>1.7678455981084119E-2</v>
      </c>
      <c r="X37" s="60">
        <f t="shared" ref="X37:X42" si="20">SUM(R37:W37)</f>
        <v>0.14498438720878265</v>
      </c>
      <c r="Y37" s="60">
        <f t="shared" ref="Y37:Y42" si="21">X37/H37</f>
        <v>6.2058593668045425</v>
      </c>
      <c r="Z37" s="1"/>
      <c r="AA37" s="1"/>
      <c r="AB37" s="1" t="s">
        <v>61</v>
      </c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</row>
    <row r="38" spans="1:66" x14ac:dyDescent="0.35">
      <c r="A38" s="31" t="s">
        <v>46</v>
      </c>
      <c r="B38" s="22">
        <f>1/C37</f>
        <v>5</v>
      </c>
      <c r="C38" s="19">
        <v>1</v>
      </c>
      <c r="D38" s="51">
        <f>1/7</f>
        <v>0.14285714285714285</v>
      </c>
      <c r="E38" s="51">
        <f>1/3</f>
        <v>0.33333333333333331</v>
      </c>
      <c r="F38" s="51">
        <f>1/7</f>
        <v>0.14285714285714285</v>
      </c>
      <c r="G38" s="51">
        <f>1/3</f>
        <v>0.33333333333333331</v>
      </c>
      <c r="H38" s="43">
        <f t="shared" si="7"/>
        <v>5.9057079816071327E-2</v>
      </c>
      <c r="I38" s="1"/>
      <c r="J38" s="18">
        <f t="shared" si="8"/>
        <v>0.13157894736842105</v>
      </c>
      <c r="K38" s="18">
        <f t="shared" si="9"/>
        <v>4.716981132075472E-2</v>
      </c>
      <c r="L38" s="18">
        <f t="shared" si="10"/>
        <v>6.7365269461077834E-2</v>
      </c>
      <c r="M38" s="18">
        <f t="shared" si="11"/>
        <v>6.3157894736842107E-2</v>
      </c>
      <c r="N38" s="18">
        <f t="shared" si="12"/>
        <v>2.2134776192818492E-2</v>
      </c>
      <c r="O38" s="18">
        <f t="shared" si="13"/>
        <v>2.2935779816513759E-2</v>
      </c>
      <c r="P38" s="1"/>
      <c r="Q38" s="19" t="s">
        <v>40</v>
      </c>
      <c r="R38" s="18">
        <f t="shared" si="14"/>
        <v>0.1168124981886566</v>
      </c>
      <c r="S38" s="18">
        <f t="shared" si="15"/>
        <v>5.9057079816071327E-2</v>
      </c>
      <c r="T38" s="18">
        <f t="shared" si="16"/>
        <v>5.752085049201093E-2</v>
      </c>
      <c r="U38" s="18">
        <f t="shared" si="17"/>
        <v>6.8962207623697008E-2</v>
      </c>
      <c r="V38" s="18">
        <f t="shared" si="18"/>
        <v>3.1379366332229874E-2</v>
      </c>
      <c r="W38" s="18">
        <f t="shared" si="19"/>
        <v>2.9464093301806861E-2</v>
      </c>
      <c r="X38" s="18">
        <f t="shared" si="20"/>
        <v>0.36319609575447259</v>
      </c>
      <c r="Y38" s="18">
        <f t="shared" si="21"/>
        <v>6.1499162655115782</v>
      </c>
      <c r="Z38" s="1"/>
      <c r="AA38" s="1"/>
      <c r="AB38" s="17">
        <f>(Z42-6)/5</f>
        <v>0.1184803551910731</v>
      </c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</row>
    <row r="39" spans="1:66" x14ac:dyDescent="0.35">
      <c r="A39" s="31" t="s">
        <v>47</v>
      </c>
      <c r="B39" s="19">
        <f>1/D37</f>
        <v>9</v>
      </c>
      <c r="C39" s="19">
        <f>1/D38</f>
        <v>7</v>
      </c>
      <c r="D39" s="19">
        <v>1</v>
      </c>
      <c r="E39" s="52">
        <v>3</v>
      </c>
      <c r="F39" s="52">
        <v>3</v>
      </c>
      <c r="G39" s="52">
        <v>5</v>
      </c>
      <c r="H39" s="43">
        <f t="shared" si="7"/>
        <v>0.40264595344407655</v>
      </c>
      <c r="I39" s="1"/>
      <c r="J39" s="18">
        <f t="shared" si="8"/>
        <v>0.23684210526315788</v>
      </c>
      <c r="K39" s="18">
        <f t="shared" si="9"/>
        <v>0.33018867924528306</v>
      </c>
      <c r="L39" s="18">
        <f t="shared" si="10"/>
        <v>0.47155688622754488</v>
      </c>
      <c r="M39" s="18">
        <f t="shared" si="11"/>
        <v>0.56842105263157894</v>
      </c>
      <c r="N39" s="18">
        <f t="shared" si="12"/>
        <v>0.46483030004918841</v>
      </c>
      <c r="O39" s="18">
        <f t="shared" si="13"/>
        <v>0.34403669724770641</v>
      </c>
      <c r="P39" s="1"/>
      <c r="Q39" s="19" t="s">
        <v>41</v>
      </c>
      <c r="R39" s="18">
        <f t="shared" si="14"/>
        <v>0.21026249673958189</v>
      </c>
      <c r="S39" s="18">
        <f t="shared" si="15"/>
        <v>0.41339955871249928</v>
      </c>
      <c r="T39" s="18">
        <f t="shared" si="16"/>
        <v>0.40264595344407655</v>
      </c>
      <c r="U39" s="18">
        <f t="shared" si="17"/>
        <v>0.62065986861327305</v>
      </c>
      <c r="V39" s="18">
        <f t="shared" si="18"/>
        <v>0.65896669297682742</v>
      </c>
      <c r="W39" s="18">
        <f t="shared" si="19"/>
        <v>0.44196139952710295</v>
      </c>
      <c r="X39" s="18">
        <f t="shared" si="20"/>
        <v>2.7478959700133614</v>
      </c>
      <c r="Y39" s="18">
        <f t="shared" si="21"/>
        <v>6.8245960166963808</v>
      </c>
      <c r="Z39" s="1"/>
      <c r="AA39" s="1"/>
      <c r="AB39" s="68" t="s">
        <v>5</v>
      </c>
      <c r="AC39" s="1"/>
      <c r="AD39" s="1"/>
      <c r="AE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</row>
    <row r="40" spans="1:66" ht="15.5" x14ac:dyDescent="0.35">
      <c r="A40" s="31" t="s">
        <v>48</v>
      </c>
      <c r="B40" s="19">
        <f>1/E37</f>
        <v>9</v>
      </c>
      <c r="C40" s="19">
        <f>1/E38</f>
        <v>3</v>
      </c>
      <c r="D40" s="21">
        <f>1/E39</f>
        <v>0.33333333333333331</v>
      </c>
      <c r="E40" s="19">
        <v>1</v>
      </c>
      <c r="F40" s="52">
        <v>2</v>
      </c>
      <c r="G40" s="52">
        <v>3</v>
      </c>
      <c r="H40" s="43">
        <f t="shared" si="7"/>
        <v>0.20688662287109102</v>
      </c>
      <c r="I40" s="1"/>
      <c r="J40" s="18">
        <f t="shared" si="8"/>
        <v>0.23684210526315788</v>
      </c>
      <c r="K40" s="18">
        <f t="shared" si="9"/>
        <v>0.14150943396226415</v>
      </c>
      <c r="L40" s="18">
        <f t="shared" si="10"/>
        <v>0.15718562874251496</v>
      </c>
      <c r="M40" s="18">
        <f t="shared" si="11"/>
        <v>0.18947368421052632</v>
      </c>
      <c r="N40" s="18">
        <f t="shared" si="12"/>
        <v>0.30988686669945892</v>
      </c>
      <c r="O40" s="18">
        <f t="shared" si="13"/>
        <v>0.20642201834862386</v>
      </c>
      <c r="P40" s="1"/>
      <c r="Q40" s="19" t="s">
        <v>42</v>
      </c>
      <c r="R40" s="18">
        <f t="shared" si="14"/>
        <v>0.21026249673958189</v>
      </c>
      <c r="S40" s="18">
        <f t="shared" si="15"/>
        <v>0.17717123944821397</v>
      </c>
      <c r="T40" s="18">
        <f t="shared" si="16"/>
        <v>0.13421531781469218</v>
      </c>
      <c r="U40" s="18">
        <f t="shared" si="17"/>
        <v>0.20688662287109102</v>
      </c>
      <c r="V40" s="18">
        <f t="shared" si="18"/>
        <v>0.4393111286512183</v>
      </c>
      <c r="W40" s="18">
        <f t="shared" si="19"/>
        <v>0.26517683971626177</v>
      </c>
      <c r="X40" s="18">
        <f t="shared" si="20"/>
        <v>1.4330236452410592</v>
      </c>
      <c r="Y40" s="18">
        <f t="shared" si="21"/>
        <v>6.9266133564080743</v>
      </c>
      <c r="Z40" s="1"/>
      <c r="AA40" s="1"/>
      <c r="AB40" s="74" t="s">
        <v>62</v>
      </c>
      <c r="AC40" s="73">
        <f>AB38/1.24</f>
        <v>9.5548673541187984E-2</v>
      </c>
      <c r="AD40" s="77" t="s">
        <v>65</v>
      </c>
      <c r="AE40" s="1"/>
      <c r="AF40" s="14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</row>
    <row r="41" spans="1:66" ht="15.5" x14ac:dyDescent="0.35">
      <c r="A41" s="31" t="s">
        <v>49</v>
      </c>
      <c r="B41" s="22">
        <f>1/F37</f>
        <v>9</v>
      </c>
      <c r="C41" s="19">
        <f>1/F38</f>
        <v>7</v>
      </c>
      <c r="D41" s="21">
        <f>1/F39</f>
        <v>0.33333333333333331</v>
      </c>
      <c r="E41" s="44">
        <f>1/F40</f>
        <v>0.5</v>
      </c>
      <c r="F41" s="19">
        <v>1</v>
      </c>
      <c r="G41" s="62">
        <v>5</v>
      </c>
      <c r="H41" s="43">
        <f t="shared" si="7"/>
        <v>0.21965556432560915</v>
      </c>
      <c r="I41" s="1"/>
      <c r="J41" s="18">
        <f t="shared" si="8"/>
        <v>0.23684210526315788</v>
      </c>
      <c r="K41" s="18">
        <f t="shared" si="9"/>
        <v>0.33018867924528306</v>
      </c>
      <c r="L41" s="18">
        <f t="shared" si="10"/>
        <v>0.15718562874251496</v>
      </c>
      <c r="M41" s="18">
        <f t="shared" si="11"/>
        <v>9.4736842105263161E-2</v>
      </c>
      <c r="N41" s="18">
        <f t="shared" si="12"/>
        <v>0.15494343334972946</v>
      </c>
      <c r="O41" s="18">
        <f t="shared" si="13"/>
        <v>0.34403669724770641</v>
      </c>
      <c r="P41" s="1"/>
      <c r="Q41" s="19" t="s">
        <v>43</v>
      </c>
      <c r="R41" s="18">
        <f t="shared" si="14"/>
        <v>0.21026249673958189</v>
      </c>
      <c r="S41" s="18">
        <f t="shared" si="15"/>
        <v>0.41339955871249928</v>
      </c>
      <c r="T41" s="18">
        <f t="shared" si="16"/>
        <v>0.13421531781469218</v>
      </c>
      <c r="U41" s="18">
        <f t="shared" si="17"/>
        <v>0.10344331143554551</v>
      </c>
      <c r="V41" s="18">
        <f t="shared" si="18"/>
        <v>0.21965556432560915</v>
      </c>
      <c r="W41" s="18">
        <f t="shared" si="19"/>
        <v>0.44196139952710295</v>
      </c>
      <c r="X41" s="18">
        <f t="shared" si="20"/>
        <v>1.522937648555031</v>
      </c>
      <c r="Y41" s="18">
        <f t="shared" si="21"/>
        <v>6.9332987453825003</v>
      </c>
      <c r="Z41" s="1"/>
      <c r="AA41" s="1"/>
      <c r="AB41" s="1"/>
      <c r="AC41" s="1"/>
      <c r="AD41" s="1"/>
      <c r="AE41" s="1"/>
      <c r="AF41" s="14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</row>
    <row r="42" spans="1:66" x14ac:dyDescent="0.35">
      <c r="A42" s="31" t="s">
        <v>50</v>
      </c>
      <c r="B42" s="19">
        <f>1/G37</f>
        <v>5</v>
      </c>
      <c r="C42" s="22">
        <f>1/G38</f>
        <v>3</v>
      </c>
      <c r="D42" s="19">
        <f>1/G39</f>
        <v>0.2</v>
      </c>
      <c r="E42" s="21">
        <f>1/G40</f>
        <v>0.33333333333333331</v>
      </c>
      <c r="F42" s="19">
        <f>1/G41</f>
        <v>0.2</v>
      </c>
      <c r="G42" s="19">
        <v>1</v>
      </c>
      <c r="H42" s="43">
        <f t="shared" si="7"/>
        <v>8.839227990542059E-2</v>
      </c>
      <c r="I42" s="1"/>
      <c r="J42" s="18">
        <f t="shared" si="8"/>
        <v>0.13157894736842105</v>
      </c>
      <c r="K42" s="18">
        <f t="shared" si="9"/>
        <v>0.14150943396226415</v>
      </c>
      <c r="L42" s="18">
        <f t="shared" si="10"/>
        <v>9.431137724550899E-2</v>
      </c>
      <c r="M42" s="18">
        <f t="shared" si="11"/>
        <v>6.3157894736842107E-2</v>
      </c>
      <c r="N42" s="18">
        <f t="shared" si="12"/>
        <v>3.0988686669945895E-2</v>
      </c>
      <c r="O42" s="18">
        <f t="shared" si="13"/>
        <v>6.8807339449541288E-2</v>
      </c>
      <c r="P42" s="1"/>
      <c r="Q42" s="19" t="s">
        <v>44</v>
      </c>
      <c r="R42" s="18">
        <f t="shared" si="14"/>
        <v>0.1168124981886566</v>
      </c>
      <c r="S42" s="18">
        <f t="shared" si="15"/>
        <v>0.17717123944821397</v>
      </c>
      <c r="T42" s="18">
        <f t="shared" si="16"/>
        <v>8.0529190688815311E-2</v>
      </c>
      <c r="U42" s="18">
        <f t="shared" si="17"/>
        <v>6.8962207623697008E-2</v>
      </c>
      <c r="V42" s="18">
        <f t="shared" si="18"/>
        <v>4.393111286512183E-2</v>
      </c>
      <c r="W42" s="18">
        <f t="shared" si="19"/>
        <v>8.839227990542059E-2</v>
      </c>
      <c r="X42" s="18">
        <f t="shared" si="20"/>
        <v>0.57579852871992543</v>
      </c>
      <c r="Y42" s="18">
        <f t="shared" si="21"/>
        <v>6.5141269049291148</v>
      </c>
      <c r="Z42" s="20">
        <f>AVERAGE(Y37:Y42)</f>
        <v>6.5924017759553655</v>
      </c>
      <c r="AA42" s="1"/>
      <c r="AB42" s="1"/>
      <c r="AC42" s="1"/>
      <c r="AD42" s="1"/>
      <c r="AE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</row>
    <row r="43" spans="1:66" x14ac:dyDescent="0.35">
      <c r="A43" s="33"/>
      <c r="B43" s="42"/>
      <c r="C43" s="42"/>
      <c r="D43" s="45"/>
      <c r="E43" s="42"/>
      <c r="F43" s="42"/>
      <c r="G43" s="45"/>
      <c r="H43" s="42"/>
      <c r="I43" s="46"/>
      <c r="J43" s="36"/>
      <c r="K43" s="35"/>
      <c r="L43" s="35"/>
      <c r="M43" s="35"/>
      <c r="N43" s="35"/>
      <c r="O43" s="35"/>
      <c r="P43" s="35"/>
      <c r="Q43" s="35"/>
      <c r="R43" s="36"/>
      <c r="S43" s="36"/>
      <c r="T43" s="36"/>
      <c r="U43" s="36"/>
      <c r="V43" s="35"/>
      <c r="W43" s="35"/>
      <c r="X43" s="35"/>
      <c r="Y43" s="35"/>
      <c r="Z43" s="35"/>
      <c r="AA43" s="35"/>
      <c r="AB43" s="35"/>
      <c r="AC43" s="35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</row>
    <row r="44" spans="1:66" x14ac:dyDescent="0.35">
      <c r="A44" s="1"/>
      <c r="B44" s="1"/>
      <c r="C44" s="1"/>
      <c r="D44" s="1"/>
      <c r="E44" s="1"/>
      <c r="F44" s="1"/>
      <c r="G44" s="1"/>
      <c r="H44" s="1"/>
      <c r="I44" s="2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</row>
    <row r="45" spans="1:6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</row>
    <row r="46" spans="1:66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</row>
    <row r="47" spans="1:66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</row>
    <row r="48" spans="1:66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</row>
    <row r="49" spans="1:66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</row>
    <row r="50" spans="1:66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</row>
    <row r="51" spans="1:66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</row>
    <row r="52" spans="1:66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</row>
    <row r="53" spans="1:66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</row>
    <row r="54" spans="1:66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</row>
    <row r="55" spans="1:66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</row>
    <row r="56" spans="1:66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</row>
    <row r="57" spans="1:66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</row>
    <row r="58" spans="1:66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</row>
    <row r="59" spans="1:66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</row>
    <row r="60" spans="1:66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</row>
    <row r="61" spans="1:66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</row>
    <row r="62" spans="1:66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</row>
    <row r="63" spans="1:66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</row>
    <row r="64" spans="1:66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</row>
    <row r="65" spans="1:66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</row>
    <row r="66" spans="1:66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</row>
    <row r="67" spans="1:66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</row>
    <row r="68" spans="1:66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</row>
    <row r="69" spans="1:66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</row>
    <row r="70" spans="1:66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</row>
    <row r="71" spans="1:66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</row>
    <row r="72" spans="1:66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</row>
    <row r="73" spans="1:66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</row>
    <row r="74" spans="1:66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</row>
    <row r="75" spans="1:66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</row>
    <row r="76" spans="1:66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</row>
    <row r="77" spans="1:66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</row>
    <row r="78" spans="1:66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</row>
    <row r="79" spans="1:66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</row>
    <row r="80" spans="1:66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</row>
    <row r="81" spans="1:66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</row>
    <row r="82" spans="1:66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</row>
    <row r="83" spans="1:66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</row>
    <row r="84" spans="1:66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</row>
    <row r="85" spans="1:66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</row>
    <row r="86" spans="1:66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</row>
    <row r="87" spans="1:66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</row>
    <row r="88" spans="1:66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</row>
    <row r="89" spans="1:66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</row>
    <row r="90" spans="1:66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</row>
    <row r="91" spans="1:66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</row>
    <row r="92" spans="1:66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</row>
    <row r="93" spans="1:66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</row>
    <row r="94" spans="1:66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</row>
    <row r="95" spans="1:66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</row>
    <row r="96" spans="1:66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</row>
    <row r="97" spans="1:66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</row>
    <row r="98" spans="1:66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</row>
    <row r="99" spans="1:66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</row>
    <row r="100" spans="1:66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</row>
    <row r="101" spans="1:66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</row>
    <row r="102" spans="1:66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</row>
    <row r="103" spans="1:66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</row>
    <row r="104" spans="1:66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</row>
    <row r="105" spans="1:66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</row>
    <row r="106" spans="1:66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</row>
    <row r="107" spans="1:66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</row>
    <row r="108" spans="1:66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</row>
    <row r="109" spans="1:66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</row>
    <row r="110" spans="1:66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</row>
    <row r="111" spans="1:66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</row>
    <row r="112" spans="1:66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</row>
    <row r="113" spans="1:66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</row>
    <row r="114" spans="1:66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</row>
    <row r="115" spans="1:66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</row>
    <row r="116" spans="1:66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</row>
    <row r="117" spans="1:66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</row>
    <row r="118" spans="1:66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</row>
    <row r="119" spans="1:66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</row>
    <row r="120" spans="1:66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</row>
    <row r="121" spans="1:66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</row>
    <row r="122" spans="1:66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</row>
    <row r="123" spans="1:66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</row>
    <row r="124" spans="1:66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</row>
    <row r="125" spans="1:66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</row>
    <row r="126" spans="1:66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</row>
    <row r="127" spans="1:66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</row>
    <row r="128" spans="1:66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</row>
    <row r="129" spans="1:66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</row>
    <row r="130" spans="1:66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</row>
    <row r="131" spans="1:66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</row>
    <row r="132" spans="1:66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</row>
    <row r="133" spans="1:66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</row>
    <row r="134" spans="1:66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</row>
    <row r="135" spans="1:66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</row>
    <row r="136" spans="1:66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</row>
    <row r="137" spans="1:66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</row>
    <row r="138" spans="1:66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</row>
    <row r="139" spans="1:66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</row>
    <row r="140" spans="1:66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</row>
    <row r="141" spans="1:66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</row>
    <row r="142" spans="1:66" x14ac:dyDescent="0.35"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</row>
    <row r="143" spans="1:66" x14ac:dyDescent="0.35"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</row>
    <row r="144" spans="1:66" x14ac:dyDescent="0.35"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</row>
    <row r="145" spans="24:44" x14ac:dyDescent="0.35"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</row>
    <row r="146" spans="24:44" x14ac:dyDescent="0.35"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</row>
    <row r="147" spans="24:44" x14ac:dyDescent="0.35"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</row>
    <row r="148" spans="24:44" x14ac:dyDescent="0.35"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</row>
    <row r="149" spans="24:44" x14ac:dyDescent="0.35"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</row>
    <row r="150" spans="24:44" x14ac:dyDescent="0.35"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</row>
    <row r="151" spans="24:44" x14ac:dyDescent="0.35"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</row>
    <row r="152" spans="24:44" x14ac:dyDescent="0.35"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</row>
    <row r="153" spans="24:44" x14ac:dyDescent="0.35"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</row>
    <row r="154" spans="24:44" x14ac:dyDescent="0.35"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</row>
    <row r="155" spans="24:44" x14ac:dyDescent="0.35"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</row>
    <row r="156" spans="24:44" x14ac:dyDescent="0.35"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</row>
    <row r="157" spans="24:44" x14ac:dyDescent="0.35"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</row>
    <row r="158" spans="24:44" x14ac:dyDescent="0.35"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</row>
    <row r="159" spans="24:44" x14ac:dyDescent="0.35"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</row>
    <row r="160" spans="24:44" x14ac:dyDescent="0.35"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</row>
    <row r="161" spans="24:44" x14ac:dyDescent="0.35"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</row>
    <row r="162" spans="24:44" x14ac:dyDescent="0.35"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</row>
    <row r="163" spans="24:44" x14ac:dyDescent="0.35"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</row>
    <row r="164" spans="24:44" x14ac:dyDescent="0.35"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</row>
    <row r="165" spans="24:44" x14ac:dyDescent="0.35"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</row>
    <row r="166" spans="24:44" x14ac:dyDescent="0.35"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</row>
    <row r="167" spans="24:44" x14ac:dyDescent="0.35"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</row>
    <row r="168" spans="24:44" x14ac:dyDescent="0.35"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</row>
    <row r="169" spans="24:44" x14ac:dyDescent="0.35"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</row>
    <row r="170" spans="24:44" x14ac:dyDescent="0.35"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</row>
    <row r="171" spans="24:44" x14ac:dyDescent="0.35"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</row>
    <row r="172" spans="24:44" x14ac:dyDescent="0.35"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</row>
    <row r="173" spans="24:44" x14ac:dyDescent="0.35"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</row>
    <row r="174" spans="24:44" x14ac:dyDescent="0.35"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</row>
    <row r="175" spans="24:44" x14ac:dyDescent="0.35"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</row>
    <row r="176" spans="24:44" x14ac:dyDescent="0.35"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</row>
    <row r="177" spans="24:44" x14ac:dyDescent="0.35"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</row>
    <row r="178" spans="24:44" x14ac:dyDescent="0.35"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</row>
    <row r="179" spans="24:44" x14ac:dyDescent="0.35"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</row>
    <row r="180" spans="24:44" x14ac:dyDescent="0.35"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</row>
    <row r="181" spans="24:44" x14ac:dyDescent="0.35"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</row>
    <row r="182" spans="24:44" x14ac:dyDescent="0.35"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</row>
    <row r="183" spans="24:44" x14ac:dyDescent="0.35"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</row>
    <row r="184" spans="24:44" x14ac:dyDescent="0.35"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</row>
    <row r="185" spans="24:44" x14ac:dyDescent="0.35"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</row>
    <row r="186" spans="24:44" x14ac:dyDescent="0.35"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</row>
    <row r="187" spans="24:44" x14ac:dyDescent="0.35"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</row>
    <row r="188" spans="24:44" x14ac:dyDescent="0.35"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</row>
    <row r="189" spans="24:44" x14ac:dyDescent="0.35"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</row>
    <row r="190" spans="24:44" x14ac:dyDescent="0.35"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</row>
    <row r="191" spans="24:44" x14ac:dyDescent="0.35"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</row>
    <row r="192" spans="24:44" x14ac:dyDescent="0.35"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</row>
    <row r="193" spans="24:44" x14ac:dyDescent="0.35"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</row>
    <row r="194" spans="24:44" x14ac:dyDescent="0.35"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</row>
    <row r="195" spans="24:44" x14ac:dyDescent="0.35"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</row>
    <row r="196" spans="24:44" x14ac:dyDescent="0.35"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</row>
    <row r="197" spans="24:44" x14ac:dyDescent="0.35"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</row>
    <row r="198" spans="24:44" x14ac:dyDescent="0.35"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</row>
    <row r="199" spans="24:44" x14ac:dyDescent="0.35"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</row>
    <row r="200" spans="24:44" x14ac:dyDescent="0.35"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</row>
    <row r="201" spans="24:44" x14ac:dyDescent="0.35"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</row>
    <row r="202" spans="24:44" x14ac:dyDescent="0.35"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</row>
    <row r="203" spans="24:44" x14ac:dyDescent="0.35"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</row>
    <row r="204" spans="24:44" x14ac:dyDescent="0.35"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</row>
    <row r="205" spans="24:44" x14ac:dyDescent="0.35"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</row>
    <row r="206" spans="24:44" x14ac:dyDescent="0.35"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</row>
    <row r="207" spans="24:44" x14ac:dyDescent="0.35"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</row>
    <row r="208" spans="24:44" x14ac:dyDescent="0.35"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</row>
    <row r="209" spans="24:44" x14ac:dyDescent="0.35"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</row>
    <row r="210" spans="24:44" x14ac:dyDescent="0.35"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</row>
    <row r="211" spans="24:44" x14ac:dyDescent="0.35"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</row>
    <row r="212" spans="24:44" x14ac:dyDescent="0.35"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</row>
    <row r="213" spans="24:44" x14ac:dyDescent="0.35"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</row>
    <row r="214" spans="24:44" x14ac:dyDescent="0.35"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</row>
    <row r="215" spans="24:44" x14ac:dyDescent="0.35"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</row>
    <row r="216" spans="24:44" x14ac:dyDescent="0.35"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</row>
    <row r="217" spans="24:44" x14ac:dyDescent="0.35"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</row>
    <row r="218" spans="24:44" x14ac:dyDescent="0.35"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</row>
    <row r="219" spans="24:44" x14ac:dyDescent="0.35"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</row>
    <row r="220" spans="24:44" x14ac:dyDescent="0.35"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</row>
    <row r="221" spans="24:44" x14ac:dyDescent="0.35"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</row>
    <row r="222" spans="24:44" x14ac:dyDescent="0.35"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</row>
    <row r="223" spans="24:44" x14ac:dyDescent="0.35"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</row>
    <row r="224" spans="24:44" x14ac:dyDescent="0.35"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</row>
    <row r="225" spans="24:44" x14ac:dyDescent="0.35"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</row>
    <row r="226" spans="24:44" x14ac:dyDescent="0.35"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</row>
    <row r="227" spans="24:44" x14ac:dyDescent="0.35"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</row>
    <row r="228" spans="24:44" x14ac:dyDescent="0.35"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</row>
    <row r="229" spans="24:44" x14ac:dyDescent="0.35"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</row>
    <row r="230" spans="24:44" x14ac:dyDescent="0.35"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</row>
    <row r="231" spans="24:44" x14ac:dyDescent="0.35"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</row>
    <row r="232" spans="24:44" x14ac:dyDescent="0.35"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</row>
    <row r="233" spans="24:44" x14ac:dyDescent="0.35"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</row>
    <row r="234" spans="24:44" x14ac:dyDescent="0.35"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</row>
    <row r="235" spans="24:44" x14ac:dyDescent="0.35"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</row>
    <row r="236" spans="24:44" x14ac:dyDescent="0.35"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</row>
    <row r="237" spans="24:44" x14ac:dyDescent="0.35"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</row>
    <row r="238" spans="24:44" x14ac:dyDescent="0.35"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</row>
    <row r="239" spans="24:44" x14ac:dyDescent="0.35"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</row>
    <row r="240" spans="24:44" x14ac:dyDescent="0.35"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</row>
    <row r="241" spans="24:44" x14ac:dyDescent="0.35"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</row>
    <row r="242" spans="24:44" x14ac:dyDescent="0.35"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</row>
    <row r="243" spans="24:44" x14ac:dyDescent="0.35"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</row>
    <row r="244" spans="24:44" x14ac:dyDescent="0.35"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</row>
    <row r="245" spans="24:44" x14ac:dyDescent="0.35"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</row>
    <row r="246" spans="24:44" x14ac:dyDescent="0.35"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</row>
    <row r="247" spans="24:44" x14ac:dyDescent="0.35"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</row>
    <row r="248" spans="24:44" x14ac:dyDescent="0.35"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</row>
    <row r="249" spans="24:44" x14ac:dyDescent="0.35"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</row>
    <row r="250" spans="24:44" x14ac:dyDescent="0.35"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</row>
    <row r="251" spans="24:44" x14ac:dyDescent="0.35"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</row>
    <row r="252" spans="24:44" x14ac:dyDescent="0.35"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</row>
    <row r="253" spans="24:44" x14ac:dyDescent="0.35"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</row>
    <row r="254" spans="24:44" x14ac:dyDescent="0.35"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</row>
    <row r="255" spans="24:44" x14ac:dyDescent="0.35"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</row>
    <row r="256" spans="24:44" x14ac:dyDescent="0.35"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</row>
    <row r="257" spans="24:44" x14ac:dyDescent="0.35"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</row>
    <row r="258" spans="24:44" x14ac:dyDescent="0.35"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</row>
    <row r="259" spans="24:44" x14ac:dyDescent="0.35"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</row>
    <row r="260" spans="24:44" x14ac:dyDescent="0.35"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</row>
    <row r="261" spans="24:44" x14ac:dyDescent="0.35"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</row>
    <row r="262" spans="24:44" x14ac:dyDescent="0.35"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</row>
    <row r="263" spans="24:44" x14ac:dyDescent="0.35"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</row>
    <row r="264" spans="24:44" x14ac:dyDescent="0.35"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</row>
    <row r="265" spans="24:44" x14ac:dyDescent="0.35"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</row>
    <row r="266" spans="24:44" x14ac:dyDescent="0.35"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</row>
    <row r="267" spans="24:44" x14ac:dyDescent="0.35"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</row>
    <row r="268" spans="24:44" x14ac:dyDescent="0.35"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</row>
    <row r="269" spans="24:44" x14ac:dyDescent="0.35"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</row>
    <row r="270" spans="24:44" x14ac:dyDescent="0.35"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</row>
    <row r="271" spans="24:44" x14ac:dyDescent="0.35"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</row>
    <row r="272" spans="24:44" x14ac:dyDescent="0.35"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</row>
    <row r="273" spans="24:44" x14ac:dyDescent="0.35"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</row>
    <row r="274" spans="24:44" x14ac:dyDescent="0.35"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</row>
    <row r="275" spans="24:44" x14ac:dyDescent="0.35"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</row>
    <row r="276" spans="24:44" x14ac:dyDescent="0.35"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</row>
    <row r="277" spans="24:44" x14ac:dyDescent="0.35"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</row>
    <row r="278" spans="24:44" x14ac:dyDescent="0.35"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</row>
    <row r="279" spans="24:44" x14ac:dyDescent="0.35"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</row>
    <row r="280" spans="24:44" x14ac:dyDescent="0.35"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</row>
    <row r="281" spans="24:44" x14ac:dyDescent="0.35"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</row>
    <row r="282" spans="24:44" x14ac:dyDescent="0.35"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</row>
    <row r="283" spans="24:44" x14ac:dyDescent="0.35"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</row>
    <row r="284" spans="24:44" x14ac:dyDescent="0.35"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</row>
    <row r="285" spans="24:44" x14ac:dyDescent="0.35"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</row>
    <row r="286" spans="24:44" x14ac:dyDescent="0.35"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</row>
    <row r="287" spans="24:44" x14ac:dyDescent="0.35"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</row>
    <row r="288" spans="24:44" x14ac:dyDescent="0.35"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</row>
  </sheetData>
  <mergeCells count="2">
    <mergeCell ref="I14:M14"/>
    <mergeCell ref="J2:L2"/>
  </mergeCells>
  <pageMargins left="0.7" right="0.7" top="0.75" bottom="0.75" header="0.3" footer="0.3"/>
  <pageSetup orientation="portrait" r:id="rId1"/>
  <ignoredErrors>
    <ignoredError sqref="J16 E38 E23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zoomScale="80" zoomScaleNormal="80" workbookViewId="0">
      <selection activeCell="G15" sqref="G15"/>
    </sheetView>
  </sheetViews>
  <sheetFormatPr baseColWidth="10" defaultRowHeight="14.5" x14ac:dyDescent="0.35"/>
  <cols>
    <col min="1" max="1" width="15.1796875" customWidth="1"/>
    <col min="2" max="2" width="12.81640625" customWidth="1"/>
    <col min="3" max="3" width="56.08984375" customWidth="1"/>
    <col min="4" max="4" width="13.08984375" customWidth="1"/>
    <col min="6" max="6" width="3.1796875" customWidth="1"/>
  </cols>
  <sheetData>
    <row r="2" spans="1:7" x14ac:dyDescent="0.35">
      <c r="A2" s="2" t="s">
        <v>51</v>
      </c>
      <c r="B2" s="2" t="s">
        <v>52</v>
      </c>
      <c r="C2" s="2" t="s">
        <v>53</v>
      </c>
      <c r="D2" s="2" t="s">
        <v>52</v>
      </c>
      <c r="E2" s="3" t="s">
        <v>4</v>
      </c>
    </row>
    <row r="3" spans="1:7" x14ac:dyDescent="0.35">
      <c r="A3" s="80" t="s">
        <v>54</v>
      </c>
      <c r="B3" s="84">
        <f>FCEs!G4</f>
        <v>0.14256230529595015</v>
      </c>
      <c r="C3" s="7" t="str">
        <f>FCEs!A16</f>
        <v>S1 Support of a well-known and prestigious firm</v>
      </c>
      <c r="D3" s="12">
        <f>FCEs!G16</f>
        <v>8.0915440635102476E-2</v>
      </c>
      <c r="E3" s="4">
        <f>$B$3*D3</f>
        <v>1.153549175097781E-2</v>
      </c>
    </row>
    <row r="4" spans="1:7" x14ac:dyDescent="0.35">
      <c r="A4" s="80"/>
      <c r="B4" s="84"/>
      <c r="C4" s="7" t="str">
        <f>FCEs!A17</f>
        <v>S2 Quick and easy preparation</v>
      </c>
      <c r="D4" s="12">
        <f>FCEs!G17</f>
        <v>3.6245096393446544E-2</v>
      </c>
      <c r="E4" s="4">
        <f t="shared" ref="E4:E7" si="0">$B$3*D4</f>
        <v>5.1671844975236681E-3</v>
      </c>
    </row>
    <row r="5" spans="1:7" x14ac:dyDescent="0.35">
      <c r="A5" s="80"/>
      <c r="B5" s="84"/>
      <c r="C5" s="7" t="str">
        <f>FCEs!A18</f>
        <v>S3 Lower price than competitor's</v>
      </c>
      <c r="D5" s="12">
        <f>FCEs!G18</f>
        <v>0.42168577881040381</v>
      </c>
      <c r="E5" s="10">
        <f t="shared" si="0"/>
        <v>6.01164967377293E-2</v>
      </c>
    </row>
    <row r="6" spans="1:7" x14ac:dyDescent="0.35">
      <c r="A6" s="80"/>
      <c r="B6" s="84"/>
      <c r="C6" s="7" t="str">
        <f>FCEs!A19</f>
        <v>S4 Exclusive distribution network</v>
      </c>
      <c r="D6" s="12">
        <f>FCEs!G19</f>
        <v>0.31018354789175628</v>
      </c>
      <c r="E6" s="4">
        <f t="shared" si="0"/>
        <v>4.4220481652325533E-2</v>
      </c>
    </row>
    <row r="7" spans="1:7" x14ac:dyDescent="0.35">
      <c r="A7" s="81"/>
      <c r="B7" s="85"/>
      <c r="C7" s="7" t="str">
        <f>FCEs!A20</f>
        <v>S5 Taste closely resembles fresh roasted coffee</v>
      </c>
      <c r="D7" s="12">
        <f>FCEs!G20</f>
        <v>0.1509701362692909</v>
      </c>
      <c r="E7" s="4">
        <f t="shared" si="0"/>
        <v>2.1522650657393845E-2</v>
      </c>
    </row>
    <row r="8" spans="1:7" x14ac:dyDescent="0.35">
      <c r="A8" s="82" t="s">
        <v>21</v>
      </c>
      <c r="B8" s="86">
        <f>FCEs!G5</f>
        <v>0.24053738317757012</v>
      </c>
      <c r="C8" s="6" t="str">
        <f>FCEs!A23</f>
        <v>W1 5% market share</v>
      </c>
      <c r="D8" s="4">
        <f>FCEs!G23</f>
        <v>7.4894048772483762E-2</v>
      </c>
      <c r="E8" s="4">
        <f>$B$8*D8</f>
        <v>1.8014818507306553E-2</v>
      </c>
    </row>
    <row r="9" spans="1:7" x14ac:dyDescent="0.35">
      <c r="A9" s="80"/>
      <c r="B9" s="84"/>
      <c r="C9" s="6" t="str">
        <f>FCEs!A24</f>
        <v>W2 No visibility at point of sale</v>
      </c>
      <c r="D9" s="4">
        <f>FCEs!G24</f>
        <v>4.7107672840727179E-2</v>
      </c>
      <c r="E9" s="4">
        <f t="shared" ref="E9:E12" si="1">$B$8*D9</f>
        <v>1.1331156352693607E-2</v>
      </c>
    </row>
    <row r="10" spans="1:7" x14ac:dyDescent="0.35">
      <c r="A10" s="80"/>
      <c r="B10" s="84"/>
      <c r="C10" s="6" t="str">
        <f>FCEs!A25</f>
        <v>W3 Less distribution coverage than competitor's</v>
      </c>
      <c r="D10" s="10">
        <f>FCEs!G25</f>
        <v>0.3769883960661945</v>
      </c>
      <c r="E10" s="10">
        <f t="shared" si="1"/>
        <v>9.0679802278071792E-2</v>
      </c>
    </row>
    <row r="11" spans="1:7" x14ac:dyDescent="0.35">
      <c r="A11" s="80"/>
      <c r="B11" s="84"/>
      <c r="C11" s="6" t="str">
        <f>FCEs!A26</f>
        <v>W4 Low brand awareness</v>
      </c>
      <c r="D11" s="10">
        <f>FCEs!G26</f>
        <v>0.30750660987733403</v>
      </c>
      <c r="E11" s="10">
        <f t="shared" si="1"/>
        <v>7.3966835249699867E-2</v>
      </c>
    </row>
    <row r="12" spans="1:7" x14ac:dyDescent="0.35">
      <c r="A12" s="80"/>
      <c r="B12" s="84"/>
      <c r="C12" s="6" t="str">
        <f>FCEs!A27</f>
        <v>W5 Lack of formats (vending machines, automatic coffee makers)</v>
      </c>
      <c r="D12" s="4">
        <f>FCEs!G27</f>
        <v>0.19350327244326054</v>
      </c>
      <c r="E12" s="4">
        <f t="shared" si="1"/>
        <v>4.6544770789798309E-2</v>
      </c>
    </row>
    <row r="13" spans="1:7" x14ac:dyDescent="0.35">
      <c r="A13" s="82" t="s">
        <v>32</v>
      </c>
      <c r="B13" s="86">
        <f>FCEs!G6</f>
        <v>0.52768691588785055</v>
      </c>
      <c r="C13" s="6" t="str">
        <f>FCEs!A30</f>
        <v>O1 Availability of Peruvian coffee producers</v>
      </c>
      <c r="D13" s="10">
        <f>FCEs!F30</f>
        <v>4.295704295704296E-2</v>
      </c>
      <c r="E13" s="10">
        <f>$B$13*D13</f>
        <v>2.266786951366391E-2</v>
      </c>
      <c r="G13" s="13" t="s">
        <v>66</v>
      </c>
    </row>
    <row r="14" spans="1:7" x14ac:dyDescent="0.35">
      <c r="A14" s="80"/>
      <c r="B14" s="84"/>
      <c r="C14" s="8" t="str">
        <f>FCEs!A31</f>
        <v>O2 Development of a Premium category</v>
      </c>
      <c r="D14" s="9">
        <f>FCEs!F31</f>
        <v>0.48853646353646352</v>
      </c>
      <c r="E14" s="9">
        <f t="shared" ref="E14:E16" si="2">$B$13*D14</f>
        <v>0.25779429974231377</v>
      </c>
      <c r="G14" s="13" t="s">
        <v>67</v>
      </c>
    </row>
    <row r="15" spans="1:7" x14ac:dyDescent="0.35">
      <c r="A15" s="80"/>
      <c r="B15" s="84"/>
      <c r="C15" s="8" t="str">
        <f>FCEs!A32</f>
        <v>O3 Increasing coffee consumption in the country</v>
      </c>
      <c r="D15" s="9">
        <f>FCEs!F32</f>
        <v>0.27240259740259742</v>
      </c>
      <c r="E15" s="9">
        <f t="shared" si="2"/>
        <v>0.14374328650321644</v>
      </c>
      <c r="G15" s="13"/>
    </row>
    <row r="16" spans="1:7" x14ac:dyDescent="0.35">
      <c r="A16" s="81"/>
      <c r="B16" s="85"/>
      <c r="C16" s="8" t="str">
        <f>FCEs!A33</f>
        <v xml:space="preserve">O4 New consumer segments: young and senior people </v>
      </c>
      <c r="D16" s="9">
        <f>FCEs!F33</f>
        <v>0.19610389610389611</v>
      </c>
      <c r="E16" s="9">
        <f t="shared" si="2"/>
        <v>0.10348146012865642</v>
      </c>
    </row>
    <row r="17" spans="1:5" x14ac:dyDescent="0.35">
      <c r="A17" s="83" t="s">
        <v>38</v>
      </c>
      <c r="B17" s="87">
        <f>FCEs!G7</f>
        <v>8.9213395638629289E-2</v>
      </c>
      <c r="C17" s="6" t="str">
        <f>FCEs!A37</f>
        <v>T1 More access to fresh roasted coffee due to better economic situation of the country</v>
      </c>
      <c r="D17" s="4">
        <f>FCEs!H37</f>
        <v>2.3362499637731321E-2</v>
      </c>
      <c r="E17" s="4">
        <f t="shared" ref="E17:E22" si="3">$B$17*D17</f>
        <v>2.0842479232882579E-3</v>
      </c>
    </row>
    <row r="18" spans="1:5" x14ac:dyDescent="0.35">
      <c r="A18" s="83"/>
      <c r="B18" s="87"/>
      <c r="C18" s="6" t="str">
        <f>FCEs!A38</f>
        <v>T2 Colombian coffee price variations</v>
      </c>
      <c r="D18" s="10">
        <f>FCEs!H38</f>
        <v>5.9057079816071327E-2</v>
      </c>
      <c r="E18" s="10">
        <f t="shared" si="3"/>
        <v>5.2686826268932797E-3</v>
      </c>
    </row>
    <row r="19" spans="1:5" x14ac:dyDescent="0.35">
      <c r="A19" s="83"/>
      <c r="B19" s="87"/>
      <c r="C19" s="6" t="str">
        <f>FCEs!A39</f>
        <v>T3 Aggressive communication strategy of competitor</v>
      </c>
      <c r="D19" s="4">
        <f>FCEs!H39</f>
        <v>0.40264595344407655</v>
      </c>
      <c r="E19" s="4">
        <f t="shared" si="3"/>
        <v>3.5921412746899514E-2</v>
      </c>
    </row>
    <row r="20" spans="1:5" x14ac:dyDescent="0.35">
      <c r="A20" s="83"/>
      <c r="B20" s="87"/>
      <c r="C20" s="6" t="str">
        <f>FCEs!A40</f>
        <v>T4 Entrance of new international competitors</v>
      </c>
      <c r="D20" s="4">
        <f>FCEs!H40</f>
        <v>0.20688662287109102</v>
      </c>
      <c r="E20" s="4">
        <f t="shared" si="3"/>
        <v>1.8457058138538533E-2</v>
      </c>
    </row>
    <row r="21" spans="1:5" x14ac:dyDescent="0.35">
      <c r="A21" s="83"/>
      <c r="B21" s="87"/>
      <c r="C21" s="6" t="str">
        <f>FCEs!A41</f>
        <v>T5 Aggressive pricing of white label products</v>
      </c>
      <c r="D21" s="4">
        <f>FCEs!H41</f>
        <v>0.21965556432560915</v>
      </c>
      <c r="E21" s="4">
        <f t="shared" si="3"/>
        <v>1.9596218764406953E-2</v>
      </c>
    </row>
    <row r="22" spans="1:5" x14ac:dyDescent="0.35">
      <c r="A22" s="83"/>
      <c r="B22" s="87"/>
      <c r="C22" s="6" t="str">
        <f>FCEs!A42</f>
        <v>T6 Negative myths about coffee consumption</v>
      </c>
      <c r="D22" s="4">
        <f>FCEs!H42</f>
        <v>8.839227990542059E-2</v>
      </c>
      <c r="E22" s="4">
        <f t="shared" si="3"/>
        <v>7.885775438602749E-3</v>
      </c>
    </row>
  </sheetData>
  <mergeCells count="8">
    <mergeCell ref="A3:A7"/>
    <mergeCell ref="A8:A12"/>
    <mergeCell ref="A13:A16"/>
    <mergeCell ref="A17:A22"/>
    <mergeCell ref="B3:B7"/>
    <mergeCell ref="B8:B12"/>
    <mergeCell ref="B13:B16"/>
    <mergeCell ref="B17:B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FCEs</vt:lpstr>
      <vt:lpstr>Integration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</dc:creator>
  <cp:lastModifiedBy>user</cp:lastModifiedBy>
  <dcterms:created xsi:type="dcterms:W3CDTF">2013-11-04T20:26:16Z</dcterms:created>
  <dcterms:modified xsi:type="dcterms:W3CDTF">2015-11-22T00:27:49Z</dcterms:modified>
</cp:coreProperties>
</file>